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M:\Human Resources\LABOR\0 Compensation\1 Salary Plans\1 CX Outside Rates\Outside Trades 2025\"/>
    </mc:Choice>
  </mc:AlternateContent>
  <xr:revisionPtr revIDLastSave="0" documentId="13_ncr:1_{AAC257B9-9D5F-422E-97B3-54067FD6326E}" xr6:coauthVersionLast="47" xr6:coauthVersionMax="47" xr10:uidLastSave="{00000000-0000-0000-0000-000000000000}"/>
  <bookViews>
    <workbookView xWindow="-120" yWindow="-120" windowWidth="29040" windowHeight="15720" xr2:uid="{00000000-000D-0000-FFFF-FFFF00000000}"/>
  </bookViews>
  <sheets>
    <sheet name="Temp Building Trades 2025" sheetId="8" r:id="rId1"/>
    <sheet name="Apprentice Carpenter 2025" sheetId="20" r:id="rId2"/>
    <sheet name="Apprentice 2011" sheetId="7" state="hidden" r:id="rId3"/>
    <sheet name="Apprentice 1 1 2012" sheetId="9" state="hidden" r:id="rId4"/>
    <sheet name="Apprentice 6 1 2012" sheetId="10" state="hidden" r:id="rId5"/>
    <sheet name="Apprentice Plumber 2016" sheetId="13" state="hidden" r:id="rId6"/>
    <sheet name="Apprentice Painter 2025" sheetId="16" r:id="rId7"/>
    <sheet name="Apprentice Plumber 2025" sheetId="15" r:id="rId8"/>
    <sheet name="Notes" sheetId="19" state="hidden" r:id="rId9"/>
    <sheet name="Apprentice Ironworker 2020" sheetId="18" state="hidden" r:id="rId10"/>
    <sheet name="Apprentice Iron Worker 2019" sheetId="17" state="hidden" r:id="rId11"/>
    <sheet name="2013 HRIS PROOF rates" sheetId="12" state="hidden" r:id="rId12"/>
    <sheet name="Sheet1" sheetId="11" state="hidden" r:id="rId13"/>
    <sheet name="Apprentice Painter 2016" sheetId="14" state="hidden" r:id="rId14"/>
  </sheets>
  <externalReferences>
    <externalReference r:id="rId15"/>
  </externalReferences>
  <definedNames>
    <definedName name="_Key1" localSheetId="3" hidden="1">[1]CEL2001!#REF!</definedName>
    <definedName name="_Key1" localSheetId="4" hidden="1">[1]CEL2001!#REF!</definedName>
    <definedName name="_Key1" localSheetId="6" hidden="1">[1]CEL2001!#REF!</definedName>
    <definedName name="_Key1" localSheetId="5" hidden="1">[1]CEL2001!#REF!</definedName>
    <definedName name="_Key1" localSheetId="7" hidden="1">[1]CEL2001!#REF!</definedName>
    <definedName name="_Key1" hidden="1">[1]CEL2001!#REF!</definedName>
    <definedName name="_Order1" hidden="1">255</definedName>
    <definedName name="_Regression_Int" localSheetId="0" hidden="1">1</definedName>
    <definedName name="A" localSheetId="6">#REF!</definedName>
    <definedName name="A" localSheetId="7">#REF!</definedName>
    <definedName name="A" localSheetId="0">'Temp Building Trades 2025'!$GJ$6752</definedName>
    <definedName name="A">#REF!</definedName>
    <definedName name="B" localSheetId="6">#REF!</definedName>
    <definedName name="B" localSheetId="7">#REF!</definedName>
    <definedName name="B" localSheetId="0">'Temp Building Trades 2025'!$GJ$6752</definedName>
    <definedName name="B">#REF!</definedName>
    <definedName name="C_" localSheetId="6">#REF!</definedName>
    <definedName name="C_" localSheetId="7">#REF!</definedName>
    <definedName name="C_" localSheetId="0">'Temp Building Trades 2025'!$GJ$6752</definedName>
    <definedName name="C_">#REF!</definedName>
    <definedName name="PAINT" localSheetId="3">#REF!</definedName>
    <definedName name="PAINT" localSheetId="4">#REF!</definedName>
    <definedName name="PAINT" localSheetId="6">#REF!</definedName>
    <definedName name="PAINT" localSheetId="5">#REF!</definedName>
    <definedName name="PAINT" localSheetId="7">#REF!</definedName>
    <definedName name="PAINT" localSheetId="0">'Temp Building Trades 2025'!#REF!</definedName>
    <definedName name="PAINT">#REF!</definedName>
    <definedName name="_xlnm.Print_Area" localSheetId="3">'Apprentice 1 1 2012'!$A$1:$K$11</definedName>
    <definedName name="_xlnm.Print_Area" localSheetId="2">'Apprentice 2011'!$A$1:$K$11</definedName>
    <definedName name="_xlnm.Print_Area" localSheetId="4">'Apprentice 6 1 2012'!$A$1:$K$11</definedName>
    <definedName name="_xlnm.Print_Area" localSheetId="13">'Apprentice Painter 2016'!$A$1:$Q$12</definedName>
    <definedName name="_xlnm.Print_Area" localSheetId="6">'Apprentice Painter 2025'!$A$1:$G$19</definedName>
    <definedName name="_xlnm.Print_Area" localSheetId="5">'Apprentice Plumber 2016'!$A$1:$G$22</definedName>
    <definedName name="_xlnm.Print_Area" localSheetId="7">'Apprentice Plumber 2025'!$A$1:$G$28</definedName>
    <definedName name="_xlnm.Print_Area" localSheetId="0">'Temp Building Trades 2025'!$A$1:$V$232</definedName>
    <definedName name="Print_Area_MI" localSheetId="3">'Apprentice 1 1 2012'!#REF!</definedName>
    <definedName name="Print_Area_MI" localSheetId="2">'Apprentice 2011'!#REF!</definedName>
    <definedName name="Print_Area_MI" localSheetId="4">'Apprentice 6 1 2012'!#REF!</definedName>
    <definedName name="Print_Area_MI" localSheetId="6">'Apprentice Painter 2025'!#REF!</definedName>
    <definedName name="Print_Area_MI" localSheetId="5">'Apprentice Plumber 2016'!#REF!</definedName>
    <definedName name="Print_Area_MI" localSheetId="7">'Apprentice Plumber 2025'!#REF!</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1" i="8" l="1"/>
  <c r="P59" i="8"/>
  <c r="P72" i="8"/>
  <c r="P71" i="8"/>
  <c r="P58" i="8" l="1"/>
  <c r="AA8" i="8" l="1"/>
  <c r="D23" i="15"/>
  <c r="E23" i="15"/>
  <c r="F23" i="15"/>
  <c r="G23" i="15"/>
  <c r="C23" i="15"/>
  <c r="D9" i="15"/>
  <c r="E9" i="15"/>
  <c r="F9" i="15"/>
  <c r="G9" i="15"/>
  <c r="C9" i="15"/>
  <c r="P9" i="20" l="1"/>
  <c r="O9" i="20"/>
  <c r="D17" i="15" l="1"/>
  <c r="E17" i="15" s="1"/>
  <c r="F17" i="15" s="1"/>
  <c r="G17" i="15" s="1"/>
  <c r="D15" i="15"/>
  <c r="E15" i="15" s="1"/>
  <c r="F15" i="15" s="1"/>
  <c r="G15" i="15" s="1"/>
  <c r="J14" i="16"/>
  <c r="K14" i="16" s="1"/>
  <c r="L14" i="16" s="1"/>
  <c r="J6" i="16"/>
  <c r="K6" i="16"/>
  <c r="L6" i="16"/>
  <c r="I6" i="16"/>
  <c r="AD96" i="8" l="1"/>
  <c r="AD95" i="8"/>
  <c r="Q13" i="20" l="1"/>
  <c r="R13" i="20"/>
  <c r="S13" i="20" s="1"/>
  <c r="T13" i="20" s="1"/>
  <c r="U13" i="20" s="1"/>
  <c r="V13" i="20" s="1"/>
  <c r="P13" i="20"/>
  <c r="P14" i="20"/>
  <c r="Q14" i="20" s="1"/>
  <c r="R14" i="20" s="1"/>
  <c r="S14" i="20" s="1"/>
  <c r="T14" i="20" s="1"/>
  <c r="U14" i="20" s="1"/>
  <c r="V14" i="20" s="1"/>
  <c r="AA49" i="8"/>
  <c r="AA40" i="8"/>
  <c r="G161" i="8"/>
  <c r="AC161" i="8"/>
  <c r="AC162" i="8" s="1"/>
  <c r="R156" i="8"/>
  <c r="AA160" i="8"/>
  <c r="AA179" i="8" s="1"/>
  <c r="P156" i="8"/>
  <c r="AA188" i="8" l="1"/>
  <c r="G159" i="8"/>
  <c r="O156" i="8"/>
  <c r="AC145" i="8"/>
  <c r="P11" i="20"/>
  <c r="Q11" i="20" s="1"/>
  <c r="R11" i="20" s="1"/>
  <c r="S11" i="20" s="1"/>
  <c r="I20" i="16"/>
  <c r="J7" i="16"/>
  <c r="K7" i="16" s="1"/>
  <c r="L7" i="16" s="1"/>
  <c r="J13" i="16"/>
  <c r="K13" i="16" s="1"/>
  <c r="L13" i="16" s="1"/>
  <c r="J15" i="16"/>
  <c r="K15" i="16" s="1"/>
  <c r="L15" i="16" s="1"/>
  <c r="J16" i="16"/>
  <c r="K16" i="16"/>
  <c r="L16" i="16" s="1"/>
  <c r="J17" i="16"/>
  <c r="K17" i="16" s="1"/>
  <c r="L17" i="16" s="1"/>
  <c r="J18" i="16"/>
  <c r="K18" i="16" s="1"/>
  <c r="L18" i="16" s="1"/>
  <c r="J19" i="16"/>
  <c r="K19" i="16" s="1"/>
  <c r="L19" i="16" s="1"/>
  <c r="J12" i="16"/>
  <c r="K12" i="16" s="1"/>
  <c r="L12" i="16" s="1"/>
  <c r="P12" i="20"/>
  <c r="Q12" i="20" s="1"/>
  <c r="R12" i="20" s="1"/>
  <c r="S12" i="20" s="1"/>
  <c r="T12" i="20" s="1"/>
  <c r="U12" i="20" s="1"/>
  <c r="V12" i="20" s="1"/>
  <c r="R9" i="20"/>
  <c r="S9" i="20" s="1"/>
  <c r="T9" i="20" s="1"/>
  <c r="U9" i="20" s="1"/>
  <c r="V9" i="20" s="1"/>
  <c r="P8" i="20"/>
  <c r="Q8" i="20" s="1"/>
  <c r="R8" i="20" s="1"/>
  <c r="S8" i="20" s="1"/>
  <c r="T8" i="20" s="1"/>
  <c r="U8" i="20" s="1"/>
  <c r="V8" i="20" s="1"/>
  <c r="C10" i="16"/>
  <c r="T11" i="20" l="1"/>
  <c r="AC48" i="8"/>
  <c r="AC37" i="8"/>
  <c r="L48" i="8"/>
  <c r="G42" i="8"/>
  <c r="P37" i="8"/>
  <c r="O37" i="8"/>
  <c r="B47" i="8"/>
  <c r="B83" i="8" s="1"/>
  <c r="B85" i="8" s="1"/>
  <c r="B23" i="8"/>
  <c r="U11" i="20" l="1"/>
  <c r="AD62" i="8"/>
  <c r="V11" i="20" l="1"/>
  <c r="J7" i="20"/>
  <c r="J8" i="20"/>
  <c r="J9" i="20"/>
  <c r="J10" i="20"/>
  <c r="J11" i="20"/>
  <c r="J12" i="20"/>
  <c r="J13" i="20"/>
  <c r="J6" i="20"/>
  <c r="I6" i="20"/>
  <c r="AA129" i="8"/>
  <c r="AA126" i="8"/>
  <c r="R117" i="8"/>
  <c r="B129" i="8" l="1"/>
  <c r="B168" i="8" l="1"/>
  <c r="B178" i="8"/>
  <c r="B188" i="8" s="1"/>
  <c r="B149" i="8"/>
  <c r="B102" i="8" l="1"/>
  <c r="B72" i="8"/>
  <c r="I7" i="20" l="1"/>
  <c r="I8" i="20"/>
  <c r="I9" i="20"/>
  <c r="I10" i="20"/>
  <c r="I11" i="20"/>
  <c r="I12" i="20"/>
  <c r="I13" i="20"/>
  <c r="H10" i="20"/>
  <c r="F6" i="20"/>
  <c r="G6" i="20"/>
  <c r="H6" i="20"/>
  <c r="F7" i="20"/>
  <c r="G7" i="20"/>
  <c r="H7" i="20"/>
  <c r="F8" i="20"/>
  <c r="G8" i="20"/>
  <c r="H8" i="20"/>
  <c r="F9" i="20"/>
  <c r="G9" i="20"/>
  <c r="H9" i="20"/>
  <c r="F10" i="20"/>
  <c r="G10" i="20"/>
  <c r="F11" i="20"/>
  <c r="G11" i="20"/>
  <c r="H11" i="20"/>
  <c r="F12" i="20"/>
  <c r="G12" i="20"/>
  <c r="H12" i="20"/>
  <c r="F13" i="20"/>
  <c r="G13" i="20"/>
  <c r="H13" i="20"/>
  <c r="D10" i="16" l="1"/>
  <c r="E10" i="16"/>
  <c r="F10" i="16"/>
  <c r="K10" i="20"/>
  <c r="G40" i="8" l="1"/>
  <c r="G51" i="8" s="1"/>
  <c r="R37" i="8" l="1"/>
  <c r="G28" i="8" l="1"/>
  <c r="G13" i="8"/>
  <c r="G66" i="8"/>
  <c r="K12" i="20" l="1"/>
  <c r="K11" i="20"/>
  <c r="K9" i="20"/>
  <c r="K13" i="20"/>
  <c r="K8" i="20"/>
  <c r="K7" i="20"/>
  <c r="K6" i="20" l="1"/>
  <c r="L7" i="8"/>
  <c r="P117" i="8" l="1"/>
  <c r="P118" i="8" s="1"/>
  <c r="O117" i="8"/>
  <c r="O118" i="8" s="1"/>
  <c r="AA120" i="8" l="1"/>
  <c r="G192" i="8" l="1"/>
  <c r="G190" i="8"/>
  <c r="S156" i="8"/>
  <c r="Q156" i="8"/>
  <c r="U156" i="8" l="1"/>
  <c r="U167" i="8" s="1"/>
  <c r="G182" i="8"/>
  <c r="G180" i="8"/>
  <c r="G172" i="8"/>
  <c r="G93" i="8"/>
  <c r="G90" i="8"/>
  <c r="G89" i="8" l="1"/>
  <c r="G106" i="8" s="1"/>
  <c r="T71" i="8"/>
  <c r="AD59" i="8"/>
  <c r="AD60" i="8"/>
  <c r="AD61" i="8"/>
  <c r="AD63" i="8"/>
  <c r="AD64" i="8"/>
  <c r="AD58" i="8"/>
  <c r="AD57" i="8"/>
  <c r="AD83" i="8" l="1"/>
  <c r="AD82" i="8"/>
  <c r="AD65" i="8"/>
  <c r="AA10" i="8"/>
  <c r="AA21" i="8" s="1"/>
  <c r="G121" i="8" l="1"/>
  <c r="G132" i="8" s="1"/>
  <c r="G65" i="8" l="1"/>
  <c r="O58" i="8"/>
  <c r="J21" i="16" l="1"/>
  <c r="K21" i="16" s="1"/>
  <c r="J11" i="16"/>
  <c r="K11" i="16" s="1"/>
  <c r="L11" i="16" s="1"/>
  <c r="J10" i="16"/>
  <c r="K10" i="16" s="1"/>
  <c r="L10" i="16" s="1"/>
  <c r="J9" i="16"/>
  <c r="K9" i="16" s="1"/>
  <c r="L9" i="16" s="1"/>
  <c r="J8" i="16"/>
  <c r="C13" i="16"/>
  <c r="D9" i="16"/>
  <c r="C9" i="16"/>
  <c r="D8" i="16"/>
  <c r="E8" i="16"/>
  <c r="F8" i="16"/>
  <c r="C8" i="16"/>
  <c r="C7" i="16" s="1"/>
  <c r="D13" i="16" l="1"/>
  <c r="J20" i="16"/>
  <c r="L21" i="16"/>
  <c r="F9" i="16" s="1"/>
  <c r="E9" i="16"/>
  <c r="E7" i="16"/>
  <c r="F7" i="16"/>
  <c r="D7" i="16"/>
  <c r="K8" i="16"/>
  <c r="K20" i="16" s="1"/>
  <c r="G107" i="8"/>
  <c r="G110" i="8"/>
  <c r="E13" i="16" l="1"/>
  <c r="L8" i="16"/>
  <c r="G53" i="8"/>
  <c r="F13" i="16" l="1"/>
  <c r="L20" i="16"/>
  <c r="AC142" i="8"/>
  <c r="M139" i="8"/>
  <c r="AC143" i="8" l="1"/>
  <c r="G151" i="8" s="1"/>
  <c r="S82" i="8"/>
  <c r="G142" i="8" l="1"/>
  <c r="P84" i="8"/>
  <c r="P82" i="8"/>
  <c r="AA67" i="8"/>
  <c r="M148" i="8"/>
  <c r="T148" i="8" s="1"/>
  <c r="S139" i="8"/>
  <c r="Q139" i="8"/>
  <c r="O139" i="8"/>
  <c r="P139" i="8"/>
  <c r="T101" i="8" l="1"/>
  <c r="L84" i="8"/>
  <c r="R82" i="8"/>
  <c r="Q82" i="8"/>
  <c r="O82" i="8"/>
  <c r="L82" i="8"/>
  <c r="L101" i="8" l="1"/>
  <c r="M82" i="8"/>
  <c r="P167" i="8"/>
  <c r="Q84" i="8"/>
  <c r="S84" i="8"/>
  <c r="R84" i="8"/>
  <c r="O84" i="8"/>
  <c r="O101" i="8" s="1"/>
  <c r="S101" i="8"/>
  <c r="N101" i="8" l="1"/>
  <c r="M101" i="8"/>
  <c r="G78" i="8" l="1"/>
  <c r="G77" i="8"/>
  <c r="S58" i="8"/>
  <c r="Q58" i="8"/>
  <c r="O71" i="8"/>
  <c r="L58" i="8"/>
  <c r="T48" i="8"/>
  <c r="S37" i="8"/>
  <c r="Q37" i="8"/>
  <c r="L37" i="8" l="1"/>
  <c r="S6" i="20" l="1"/>
  <c r="T6" i="20"/>
  <c r="T15" i="20" s="1"/>
  <c r="U6" i="20"/>
  <c r="U15" i="20" s="1"/>
  <c r="V6" i="20"/>
  <c r="V15" i="20" s="1"/>
  <c r="R6" i="20"/>
  <c r="R15" i="20" s="1"/>
  <c r="Q6" i="20"/>
  <c r="Q15" i="20" s="1"/>
  <c r="P6" i="20"/>
  <c r="P15" i="20" s="1"/>
  <c r="O6" i="20"/>
  <c r="O15" i="20" s="1"/>
  <c r="S15" i="20"/>
  <c r="T22" i="8"/>
  <c r="C11" i="20" l="1"/>
  <c r="E11" i="20" s="1"/>
  <c r="C6" i="20"/>
  <c r="D6" i="20" s="1"/>
  <c r="C7" i="20"/>
  <c r="L7" i="20" s="1"/>
  <c r="C9" i="20"/>
  <c r="E9" i="20" s="1"/>
  <c r="C12" i="20"/>
  <c r="D12" i="20" s="1"/>
  <c r="C8" i="20"/>
  <c r="D8" i="20" s="1"/>
  <c r="C10" i="20"/>
  <c r="L10" i="20" s="1"/>
  <c r="C13" i="20"/>
  <c r="E13" i="20" s="1"/>
  <c r="T128" i="8"/>
  <c r="E6" i="20" l="1"/>
  <c r="L6" i="20"/>
  <c r="D11" i="20"/>
  <c r="L11" i="20"/>
  <c r="E10" i="20"/>
  <c r="D10" i="20"/>
  <c r="E7" i="20"/>
  <c r="D7" i="20"/>
  <c r="L12" i="20"/>
  <c r="L9" i="20"/>
  <c r="E12" i="20"/>
  <c r="L13" i="20"/>
  <c r="L8" i="20"/>
  <c r="D9" i="20"/>
  <c r="E8" i="20"/>
  <c r="D13" i="20"/>
  <c r="S117" i="8"/>
  <c r="Q117" i="8"/>
  <c r="L117" i="8"/>
  <c r="U117" i="8" l="1"/>
  <c r="L128" i="8"/>
  <c r="M117" i="8"/>
  <c r="G170" i="8"/>
  <c r="D15" i="16" l="1"/>
  <c r="E15" i="16"/>
  <c r="F15" i="16"/>
  <c r="C15" i="16"/>
  <c r="D14" i="16"/>
  <c r="E14" i="16"/>
  <c r="F14" i="16"/>
  <c r="C14" i="16"/>
  <c r="M7" i="8" l="1"/>
  <c r="C21" i="15" l="1"/>
  <c r="S7" i="8"/>
  <c r="Q7" i="8"/>
  <c r="P7" i="8"/>
  <c r="N7" i="8" s="1"/>
  <c r="R7" i="8"/>
  <c r="O7" i="8"/>
  <c r="R58" i="8" l="1"/>
  <c r="R139" i="8" l="1"/>
  <c r="I14" i="18" l="1"/>
  <c r="I15" i="18"/>
  <c r="I13" i="18"/>
  <c r="D8" i="18"/>
  <c r="E8" i="18"/>
  <c r="F8" i="18"/>
  <c r="G8" i="18"/>
  <c r="H8" i="18"/>
  <c r="I8" i="18"/>
  <c r="D9" i="18"/>
  <c r="E9" i="18"/>
  <c r="F9" i="18"/>
  <c r="G9" i="18"/>
  <c r="H9" i="18"/>
  <c r="I9" i="18"/>
  <c r="E7" i="18"/>
  <c r="F7" i="18"/>
  <c r="G7" i="18"/>
  <c r="H7" i="18"/>
  <c r="I7" i="18"/>
  <c r="D7" i="18"/>
  <c r="P8" i="17" l="1"/>
  <c r="K7" i="17"/>
  <c r="P7" i="17" s="1"/>
  <c r="K8" i="17"/>
  <c r="K6" i="17"/>
  <c r="P6" i="17" s="1"/>
  <c r="D7" i="17"/>
  <c r="E7" i="17"/>
  <c r="F7" i="17"/>
  <c r="G7" i="17"/>
  <c r="H7" i="17"/>
  <c r="I7" i="17"/>
  <c r="D8" i="17"/>
  <c r="E8" i="17"/>
  <c r="F8" i="17"/>
  <c r="G8" i="17"/>
  <c r="H8" i="17"/>
  <c r="I8" i="17"/>
  <c r="E6" i="17"/>
  <c r="F6" i="17"/>
  <c r="G6" i="17"/>
  <c r="H6" i="17"/>
  <c r="I6" i="17"/>
  <c r="D6" i="17"/>
  <c r="L139" i="8" l="1"/>
  <c r="N139" i="8"/>
  <c r="U37" i="8"/>
  <c r="D16" i="16"/>
  <c r="E16" i="16"/>
  <c r="F16" i="16"/>
  <c r="C16" i="16"/>
  <c r="W83" i="8" l="1"/>
  <c r="S83" i="8"/>
  <c r="R83" i="8"/>
  <c r="Q83" i="8"/>
  <c r="P83" i="8"/>
  <c r="O83" i="8"/>
  <c r="L83" i="8"/>
  <c r="U82" i="8"/>
  <c r="V82" i="8" s="1"/>
  <c r="N82" i="8"/>
  <c r="N83" i="8" s="1"/>
  <c r="M83" i="8"/>
  <c r="U83" i="8" l="1"/>
  <c r="Q59" i="8"/>
  <c r="Q71" i="8"/>
  <c r="R71" i="8"/>
  <c r="R72" i="8" s="1"/>
  <c r="S71" i="8"/>
  <c r="S72" i="8" s="1"/>
  <c r="W71" i="8"/>
  <c r="W72" i="8" s="1"/>
  <c r="O72" i="8"/>
  <c r="U71" i="8" l="1"/>
  <c r="Q72" i="8"/>
  <c r="U72" i="8" s="1"/>
  <c r="L22" i="8" l="1"/>
  <c r="L71" i="8" l="1"/>
  <c r="M71" i="8" l="1"/>
  <c r="M72" i="8" s="1"/>
  <c r="V71" i="8"/>
  <c r="N71" i="8"/>
  <c r="N72" i="8" s="1"/>
  <c r="L72" i="8"/>
  <c r="S167" i="8" l="1"/>
  <c r="O148" i="8" l="1"/>
  <c r="G21" i="15" l="1"/>
  <c r="F21" i="15"/>
  <c r="E21" i="15"/>
  <c r="D21" i="15"/>
  <c r="M84" i="8" l="1"/>
  <c r="G6" i="14" l="1"/>
  <c r="G16" i="14" l="1"/>
  <c r="H6" i="14"/>
  <c r="H7" i="14" s="1"/>
  <c r="L6" i="14"/>
  <c r="L18" i="14" s="1"/>
  <c r="P18" i="14" s="1"/>
  <c r="M6" i="14"/>
  <c r="M7" i="14" s="1"/>
  <c r="N6" i="14"/>
  <c r="N7" i="14" s="1"/>
  <c r="G7" i="14"/>
  <c r="J7" i="14"/>
  <c r="K7" i="14"/>
  <c r="P34" i="14"/>
  <c r="P33" i="14"/>
  <c r="P28" i="14"/>
  <c r="P27" i="14"/>
  <c r="G27" i="14"/>
  <c r="I27" i="14" s="1"/>
  <c r="G20" i="14"/>
  <c r="I20" i="14" s="1"/>
  <c r="K17" i="14"/>
  <c r="J17" i="14"/>
  <c r="N16" i="14"/>
  <c r="N17" i="14" s="1"/>
  <c r="M16" i="14"/>
  <c r="M17" i="14" s="1"/>
  <c r="L16" i="14"/>
  <c r="L19" i="14" l="1"/>
  <c r="P19" i="14" s="1"/>
  <c r="L21" i="14"/>
  <c r="P21" i="14" s="1"/>
  <c r="G33" i="14"/>
  <c r="H33" i="14" s="1"/>
  <c r="P6" i="14"/>
  <c r="Q6" i="14" s="1"/>
  <c r="I6" i="14"/>
  <c r="I7" i="14" s="1"/>
  <c r="G18" i="14"/>
  <c r="I18" i="14" s="1"/>
  <c r="L20" i="14"/>
  <c r="P20" i="14" s="1"/>
  <c r="Q20" i="14" s="1"/>
  <c r="L7" i="14"/>
  <c r="P7" i="14" s="1"/>
  <c r="P16" i="14"/>
  <c r="Q16" i="14" s="1"/>
  <c r="G19" i="14"/>
  <c r="G21" i="14"/>
  <c r="G28" i="14"/>
  <c r="Q28" i="14" s="1"/>
  <c r="G34" i="14"/>
  <c r="I34" i="14" s="1"/>
  <c r="L17" i="14"/>
  <c r="P17" i="14" s="1"/>
  <c r="H16" i="14"/>
  <c r="H17" i="14" s="1"/>
  <c r="Q27" i="14"/>
  <c r="I16" i="14"/>
  <c r="I17" i="14" s="1"/>
  <c r="H20" i="14"/>
  <c r="H27" i="14"/>
  <c r="G17" i="14"/>
  <c r="Q21" i="14" l="1"/>
  <c r="Q19" i="14"/>
  <c r="I33" i="14"/>
  <c r="Q18" i="14"/>
  <c r="Q34" i="14"/>
  <c r="H19" i="14"/>
  <c r="Q33" i="14"/>
  <c r="I28" i="14"/>
  <c r="I21" i="14"/>
  <c r="I19" i="14"/>
  <c r="H18" i="14"/>
  <c r="H21" i="14"/>
  <c r="H34" i="14"/>
  <c r="H28" i="14"/>
  <c r="O102" i="8" l="1"/>
  <c r="W101" i="8"/>
  <c r="S102" i="8"/>
  <c r="R101" i="8"/>
  <c r="R102" i="8" s="1"/>
  <c r="Q101" i="8"/>
  <c r="Q102" i="8" s="1"/>
  <c r="P102" i="8"/>
  <c r="W85" i="8"/>
  <c r="S85" i="8"/>
  <c r="R85" i="8"/>
  <c r="Q85" i="8"/>
  <c r="P85" i="8"/>
  <c r="O85" i="8"/>
  <c r="U84" i="8"/>
  <c r="N117" i="8"/>
  <c r="V117" i="8"/>
  <c r="L118" i="8"/>
  <c r="Q118" i="8"/>
  <c r="R118" i="8"/>
  <c r="S118" i="8"/>
  <c r="W118" i="8"/>
  <c r="L129" i="8"/>
  <c r="O128" i="8"/>
  <c r="P128" i="8"/>
  <c r="P129" i="8" s="1"/>
  <c r="Q128" i="8"/>
  <c r="R128" i="8"/>
  <c r="R129" i="8" s="1"/>
  <c r="S128" i="8"/>
  <c r="S129" i="8" s="1"/>
  <c r="W128" i="8"/>
  <c r="W129" i="8" s="1"/>
  <c r="N140" i="8"/>
  <c r="U139" i="8"/>
  <c r="M140" i="8"/>
  <c r="O140" i="8"/>
  <c r="Q140" i="8"/>
  <c r="R140" i="8"/>
  <c r="S140" i="8"/>
  <c r="W140" i="8"/>
  <c r="O149" i="8"/>
  <c r="Q148" i="8"/>
  <c r="Q149" i="8" s="1"/>
  <c r="R148" i="8"/>
  <c r="R149" i="8" s="1"/>
  <c r="S148" i="8"/>
  <c r="S149" i="8" s="1"/>
  <c r="W148" i="8"/>
  <c r="W149" i="8" s="1"/>
  <c r="L59" i="8"/>
  <c r="U148" i="8" l="1"/>
  <c r="U149" i="8" s="1"/>
  <c r="AC144" i="8"/>
  <c r="M102" i="8"/>
  <c r="G8" i="14"/>
  <c r="G11" i="14" s="1"/>
  <c r="L85" i="8"/>
  <c r="U140" i="8"/>
  <c r="M128" i="8"/>
  <c r="M85" i="8"/>
  <c r="N84" i="8"/>
  <c r="N85" i="8" s="1"/>
  <c r="V84" i="8"/>
  <c r="V139" i="8"/>
  <c r="U118" i="8"/>
  <c r="U128" i="8"/>
  <c r="V128" i="8" s="1"/>
  <c r="U85" i="8"/>
  <c r="L140" i="8"/>
  <c r="U102" i="8"/>
  <c r="O129" i="8"/>
  <c r="N128" i="8"/>
  <c r="P148" i="8"/>
  <c r="Q129" i="8"/>
  <c r="U129" i="8" s="1"/>
  <c r="U101" i="8"/>
  <c r="P140" i="8"/>
  <c r="AC146" i="8" l="1"/>
  <c r="P149" i="8"/>
  <c r="L148" i="8"/>
  <c r="N102" i="8"/>
  <c r="V101" i="8"/>
  <c r="L102" i="8"/>
  <c r="V148" i="8" l="1"/>
  <c r="L149" i="8"/>
  <c r="N148" i="8"/>
  <c r="N149" i="8" s="1"/>
  <c r="M149" i="8"/>
  <c r="W59" i="8" l="1"/>
  <c r="S59" i="8"/>
  <c r="R59" i="8"/>
  <c r="O59" i="8"/>
  <c r="U58" i="8"/>
  <c r="V58" i="8" s="1"/>
  <c r="N58" i="8"/>
  <c r="N59" i="8" s="1"/>
  <c r="M58" i="8"/>
  <c r="M59" i="8" s="1"/>
  <c r="U59" i="8" l="1"/>
  <c r="G11" i="13" l="1"/>
  <c r="G9" i="13" s="1"/>
  <c r="F11" i="13"/>
  <c r="F9" i="13" s="1"/>
  <c r="E11" i="13"/>
  <c r="E9" i="13" s="1"/>
  <c r="D11" i="13"/>
  <c r="D9" i="13" s="1"/>
  <c r="C11" i="13"/>
  <c r="C9" i="13" s="1"/>
  <c r="P38" i="8" l="1"/>
  <c r="P48" i="8" s="1"/>
  <c r="P49" i="8" s="1"/>
  <c r="G7" i="13" l="1"/>
  <c r="F7" i="13"/>
  <c r="E7" i="13"/>
  <c r="D7" i="13"/>
  <c r="C7" i="13"/>
  <c r="E19" i="13" l="1"/>
  <c r="D19" i="13"/>
  <c r="C19" i="13"/>
  <c r="G19" i="13"/>
  <c r="F19" i="13"/>
  <c r="G10" i="13"/>
  <c r="F10" i="13"/>
  <c r="E10" i="13"/>
  <c r="C10" i="13"/>
  <c r="D10" i="13"/>
  <c r="V37" i="8"/>
  <c r="M37" i="8"/>
  <c r="M38" i="8" s="1"/>
  <c r="N37" i="8"/>
  <c r="N38" i="8" s="1"/>
  <c r="O157" i="8"/>
  <c r="N8" i="8"/>
  <c r="M8" i="8"/>
  <c r="O48" i="8"/>
  <c r="L38" i="8"/>
  <c r="O38" i="8"/>
  <c r="O49" i="8" s="1"/>
  <c r="Q38" i="8"/>
  <c r="Q48" i="8" s="1"/>
  <c r="Q49" i="8" s="1"/>
  <c r="R38" i="8"/>
  <c r="R48" i="8" s="1"/>
  <c r="R49" i="8" s="1"/>
  <c r="S38" i="8"/>
  <c r="S48" i="8" s="1"/>
  <c r="S49" i="8" s="1"/>
  <c r="W38" i="8"/>
  <c r="W49" i="8"/>
  <c r="P157" i="8"/>
  <c r="Q157" i="8"/>
  <c r="S157" i="8"/>
  <c r="W157" i="8"/>
  <c r="O167" i="8"/>
  <c r="O168" i="8" s="1"/>
  <c r="P168" i="8"/>
  <c r="Q167" i="8"/>
  <c r="S168" i="8"/>
  <c r="W167" i="8"/>
  <c r="W168" i="8" s="1"/>
  <c r="O177" i="8"/>
  <c r="O187" i="8" s="1"/>
  <c r="O188" i="8" s="1"/>
  <c r="P177" i="8"/>
  <c r="P178" i="8" s="1"/>
  <c r="Q177" i="8"/>
  <c r="Q187" i="8" s="1"/>
  <c r="Q188" i="8" s="1"/>
  <c r="S177" i="8"/>
  <c r="S178" i="8" s="1"/>
  <c r="W177" i="8"/>
  <c r="W187" i="8" s="1"/>
  <c r="W188" i="8" s="1"/>
  <c r="L23" i="8"/>
  <c r="P8" i="8"/>
  <c r="O8" i="8"/>
  <c r="L8" i="8"/>
  <c r="A15" i="10"/>
  <c r="G7" i="10"/>
  <c r="G10" i="10"/>
  <c r="F7" i="10"/>
  <c r="F10" i="10" s="1"/>
  <c r="E7" i="10"/>
  <c r="E10" i="10"/>
  <c r="D7" i="10"/>
  <c r="D10" i="10"/>
  <c r="C7" i="10"/>
  <c r="C10" i="10"/>
  <c r="C7" i="9"/>
  <c r="C10" i="9" s="1"/>
  <c r="D7" i="9"/>
  <c r="E7" i="9"/>
  <c r="E10" i="9" s="1"/>
  <c r="F7" i="9"/>
  <c r="F10" i="9" s="1"/>
  <c r="G7" i="9"/>
  <c r="G10" i="9" s="1"/>
  <c r="D10" i="9"/>
  <c r="A15" i="9"/>
  <c r="C7" i="7"/>
  <c r="C10" i="7" s="1"/>
  <c r="D7" i="7"/>
  <c r="D10" i="7" s="1"/>
  <c r="E7" i="7"/>
  <c r="E10" i="7" s="1"/>
  <c r="F7" i="7"/>
  <c r="F10" i="7" s="1"/>
  <c r="G7" i="7"/>
  <c r="G10" i="7" s="1"/>
  <c r="A15" i="7"/>
  <c r="U7" i="8"/>
  <c r="V7" i="8" s="1"/>
  <c r="Q8" i="8"/>
  <c r="R8" i="8"/>
  <c r="S8" i="8"/>
  <c r="W8" i="8"/>
  <c r="O22" i="8"/>
  <c r="O23" i="8" s="1"/>
  <c r="P22" i="8"/>
  <c r="P23" i="8" s="1"/>
  <c r="Q22" i="8"/>
  <c r="Q23" i="8" s="1"/>
  <c r="R22" i="8"/>
  <c r="R23" i="8" s="1"/>
  <c r="S22" i="8"/>
  <c r="S23" i="8" s="1"/>
  <c r="W22" i="8"/>
  <c r="W23" i="8" s="1"/>
  <c r="T23" i="8"/>
  <c r="R167" i="8"/>
  <c r="R168" i="8" s="1"/>
  <c r="R157" i="8"/>
  <c r="R177" i="8"/>
  <c r="R178" i="8" s="1"/>
  <c r="Q168" i="8" l="1"/>
  <c r="U168" i="8"/>
  <c r="U157" i="8"/>
  <c r="U8" i="8"/>
  <c r="L49" i="8"/>
  <c r="W178" i="8"/>
  <c r="R187" i="8"/>
  <c r="R188" i="8" s="1"/>
  <c r="U48" i="8"/>
  <c r="V48" i="8" s="1"/>
  <c r="M48" i="8"/>
  <c r="M49" i="8" s="1"/>
  <c r="U22" i="8"/>
  <c r="V22" i="8" s="1"/>
  <c r="S187" i="8"/>
  <c r="S188" i="8" s="1"/>
  <c r="Q178" i="8"/>
  <c r="N48" i="8"/>
  <c r="N49" i="8" s="1"/>
  <c r="U38" i="8"/>
  <c r="U23" i="8"/>
  <c r="U49" i="8"/>
  <c r="M22" i="8"/>
  <c r="M23" i="8" s="1"/>
  <c r="N22" i="8"/>
  <c r="N23" i="8" s="1"/>
  <c r="P187" i="8"/>
  <c r="P188" i="8" s="1"/>
  <c r="U177" i="8"/>
  <c r="O178" i="8"/>
  <c r="U178" i="8" l="1"/>
  <c r="U187" i="8"/>
  <c r="U188" i="8" l="1"/>
  <c r="M156" i="8" l="1"/>
  <c r="M157" i="8" s="1"/>
  <c r="T177" i="8"/>
  <c r="T187" i="8"/>
  <c r="L156" i="8"/>
  <c r="N156" i="8" l="1"/>
  <c r="N157" i="8" s="1"/>
  <c r="L157" i="8"/>
  <c r="L187" i="8"/>
  <c r="V156" i="8"/>
  <c r="L177" i="8"/>
  <c r="L167" i="8"/>
  <c r="L168" i="8" l="1"/>
  <c r="V167" i="8"/>
  <c r="M167" i="8"/>
  <c r="M168" i="8" s="1"/>
  <c r="N167" i="8"/>
  <c r="N168" i="8" s="1"/>
  <c r="V177" i="8"/>
  <c r="N177" i="8"/>
  <c r="N178" i="8" s="1"/>
  <c r="L178" i="8"/>
  <c r="M177" i="8"/>
  <c r="M178" i="8" s="1"/>
  <c r="M187" i="8"/>
  <c r="M188" i="8" s="1"/>
  <c r="L188" i="8"/>
  <c r="N187" i="8"/>
  <c r="N188" i="8" s="1"/>
  <c r="V18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Nelmspk0</author>
    <author xml:space="preserve">Miller, Brenda </author>
    <author xml:space="preserve">Nelms, Pam </author>
    <author>Nelms, Pam K.</author>
    <author>Leigh, Nastassia</author>
  </authors>
  <commentList>
    <comment ref="W7" authorId="0" shapeId="0" xr:uid="{00000000-0006-0000-0000-000003000000}">
      <text>
        <r>
          <rPr>
            <b/>
            <sz val="8"/>
            <color indexed="81"/>
            <rFont val="Tahoma"/>
            <family val="2"/>
          </rPr>
          <t>Nelmspk0:</t>
        </r>
        <r>
          <rPr>
            <sz val="8"/>
            <color indexed="81"/>
            <rFont val="Tahoma"/>
            <family val="2"/>
          </rPr>
          <t xml:space="preserve">
The city has never paid this. Now called IMI on outside schedule.</t>
        </r>
      </text>
    </comment>
    <comment ref="K8" authorId="0" shapeId="0" xr:uid="{00000000-0006-0000-0000-000004000000}">
      <text>
        <r>
          <rPr>
            <b/>
            <sz val="8"/>
            <color indexed="81"/>
            <rFont val="Tahoma"/>
            <family val="2"/>
          </rPr>
          <t>Nelmspk0:</t>
        </r>
        <r>
          <rPr>
            <sz val="8"/>
            <color indexed="81"/>
            <rFont val="Tahoma"/>
            <family val="2"/>
          </rPr>
          <t xml:space="preserve">
Nelmspk0:
Bricklayers do not get time and half on non-taxable fringes benefits.</t>
        </r>
      </text>
    </comment>
    <comment ref="K23" authorId="0" shapeId="0" xr:uid="{00000000-0006-0000-0000-000005000000}">
      <text>
        <r>
          <rPr>
            <b/>
            <sz val="8"/>
            <color indexed="81"/>
            <rFont val="Tahoma"/>
            <family val="2"/>
          </rPr>
          <t>Nelmspk0:</t>
        </r>
        <r>
          <rPr>
            <sz val="8"/>
            <color indexed="81"/>
            <rFont val="Tahoma"/>
            <family val="2"/>
          </rPr>
          <t xml:space="preserve">
</t>
        </r>
        <r>
          <rPr>
            <sz val="12"/>
            <color indexed="81"/>
            <rFont val="Tahoma"/>
            <family val="2"/>
          </rPr>
          <t>Bricklayers do not get time and half on non-taxable fringes benefits</t>
        </r>
      </text>
    </comment>
    <comment ref="L36" authorId="1" shapeId="0" xr:uid="{EB2207FA-C5F4-43A4-9BB0-0E055BB2BFA8}">
      <text>
        <r>
          <rPr>
            <sz val="9"/>
            <color indexed="81"/>
            <rFont val="Tahoma"/>
            <family val="2"/>
          </rPr>
          <t xml:space="preserve">Gross Wages
</t>
        </r>
      </text>
    </comment>
    <comment ref="O36" authorId="1" shapeId="0" xr:uid="{AF2D0495-ABEB-4906-9D37-A063C32B13C3}">
      <text>
        <r>
          <rPr>
            <b/>
            <sz val="9"/>
            <color indexed="81"/>
            <rFont val="Tahoma"/>
            <family val="2"/>
          </rPr>
          <t>Savings</t>
        </r>
        <r>
          <rPr>
            <sz val="9"/>
            <color indexed="81"/>
            <rFont val="Tahoma"/>
            <family val="2"/>
          </rPr>
          <t xml:space="preserve">
</t>
        </r>
      </text>
    </comment>
    <comment ref="P36" authorId="1" shapeId="0" xr:uid="{4C494D1B-4F59-464A-B5F3-03DD59AD76FE}">
      <text>
        <r>
          <rPr>
            <b/>
            <sz val="9"/>
            <color indexed="81"/>
            <rFont val="Tahoma"/>
            <family val="2"/>
          </rPr>
          <t>Dues</t>
        </r>
        <r>
          <rPr>
            <sz val="9"/>
            <color indexed="81"/>
            <rFont val="Tahoma"/>
            <family val="2"/>
          </rPr>
          <t xml:space="preserve">
</t>
        </r>
      </text>
    </comment>
    <comment ref="R36" authorId="1" shapeId="0" xr:uid="{E14AEC52-1436-4EFC-AE27-CDAF4319B92B}">
      <text>
        <r>
          <rPr>
            <b/>
            <sz val="9"/>
            <color indexed="81"/>
            <rFont val="Tahoma"/>
            <family val="2"/>
          </rPr>
          <t xml:space="preserve">DB Pension + DC Pension + UBC fund
</t>
        </r>
        <r>
          <rPr>
            <sz val="9"/>
            <color indexed="81"/>
            <rFont val="Tahoma"/>
            <family val="2"/>
          </rPr>
          <t xml:space="preserve">
</t>
        </r>
      </text>
    </comment>
    <comment ref="S36" authorId="1" shapeId="0" xr:uid="{96142785-A79D-4DF5-955C-5F10499D9DFF}">
      <text>
        <r>
          <rPr>
            <sz val="9"/>
            <color indexed="81"/>
            <rFont val="Tahoma"/>
            <family val="2"/>
          </rPr>
          <t xml:space="preserve">Apprentice/Education
</t>
        </r>
      </text>
    </comment>
    <comment ref="R37" authorId="2" shapeId="0" xr:uid="{00000000-0006-0000-0000-000006000000}">
      <text>
        <r>
          <rPr>
            <b/>
            <sz val="9"/>
            <color indexed="81"/>
            <rFont val="Tahoma"/>
            <family val="2"/>
          </rPr>
          <t>Nelms, Pam :</t>
        </r>
        <r>
          <rPr>
            <sz val="9"/>
            <color indexed="81"/>
            <rFont val="Tahoma"/>
            <family val="2"/>
          </rPr>
          <t xml:space="preserve">
</t>
        </r>
        <r>
          <rPr>
            <sz val="14"/>
            <color indexed="81"/>
            <rFont val="Tahoma"/>
            <family val="2"/>
          </rPr>
          <t>DB Pension contribution for 2018 = $9.75 &amp; DC Pension Contribution = $2.30
UBC Fund for $.10 added on 7/22/2019 - NL</t>
        </r>
      </text>
    </comment>
    <comment ref="W37" authorId="3" shapeId="0" xr:uid="{00000000-0006-0000-0000-000007000000}">
      <text>
        <r>
          <rPr>
            <b/>
            <sz val="8"/>
            <color indexed="81"/>
            <rFont val="Tahoma"/>
            <family val="2"/>
          </rPr>
          <t>Nelms, Pam K.:</t>
        </r>
        <r>
          <rPr>
            <sz val="8"/>
            <color indexed="81"/>
            <rFont val="Tahoma"/>
            <family val="2"/>
          </rPr>
          <t xml:space="preserve">
We do not pay industry funds/</t>
        </r>
      </text>
    </comment>
    <comment ref="K38" authorId="0" shapeId="0" xr:uid="{00000000-0006-0000-0000-000008000000}">
      <text>
        <r>
          <rPr>
            <b/>
            <sz val="8"/>
            <color indexed="81"/>
            <rFont val="Tahoma"/>
            <family val="2"/>
          </rPr>
          <t>Nelmspk0:</t>
        </r>
        <r>
          <rPr>
            <sz val="8"/>
            <color indexed="81"/>
            <rFont val="Tahoma"/>
            <family val="2"/>
          </rPr>
          <t xml:space="preserve">
Carpenters do not get time and half on non-taxable fringe benefits,</t>
        </r>
      </text>
    </comment>
    <comment ref="AA46" authorId="1" shapeId="0" xr:uid="{9E1B8B56-2EB0-40F7-992D-64720C26DB34}">
      <text>
        <r>
          <rPr>
            <sz val="9"/>
            <color indexed="81"/>
            <rFont val="Tahoma"/>
            <family val="2"/>
          </rPr>
          <t>E-mailed Annie McBurney 5/3/2024</t>
        </r>
      </text>
    </comment>
    <comment ref="R48" authorId="2" shapeId="0" xr:uid="{00000000-0006-0000-0000-000009000000}">
      <text>
        <r>
          <rPr>
            <b/>
            <sz val="9"/>
            <color indexed="81"/>
            <rFont val="Tahoma"/>
            <family val="2"/>
          </rPr>
          <t>Nelms, Pam :</t>
        </r>
        <r>
          <rPr>
            <sz val="9"/>
            <color indexed="81"/>
            <rFont val="Tahoma"/>
            <family val="2"/>
          </rPr>
          <t xml:space="preserve">
</t>
        </r>
        <r>
          <rPr>
            <sz val="14"/>
            <color indexed="81"/>
            <rFont val="Tahoma"/>
            <family val="2"/>
          </rPr>
          <t xml:space="preserve">DB Pension contribution for 2018 = $9.75 &amp; DC Pension Contribution = $2.30.
</t>
        </r>
        <r>
          <rPr>
            <b/>
            <sz val="8"/>
            <color indexed="81"/>
            <rFont val="Tahoma"/>
            <family val="2"/>
          </rPr>
          <t>Brenda Miller:</t>
        </r>
        <r>
          <rPr>
            <sz val="14"/>
            <color indexed="81"/>
            <rFont val="Tahoma"/>
            <family val="2"/>
          </rPr>
          <t xml:space="preserve">
Includes UBC Fund of $.10</t>
        </r>
      </text>
    </comment>
    <comment ref="K49" authorId="0" shapeId="0" xr:uid="{00000000-0006-0000-0000-00000A000000}">
      <text>
        <r>
          <rPr>
            <b/>
            <sz val="8"/>
            <color indexed="81"/>
            <rFont val="Tahoma"/>
            <family val="2"/>
          </rPr>
          <t>Nelmspk0:</t>
        </r>
        <r>
          <rPr>
            <sz val="8"/>
            <color indexed="81"/>
            <rFont val="Tahoma"/>
            <family val="2"/>
          </rPr>
          <t xml:space="preserve">
Carpenters do not get time and half on non-taxable fringe benefits,</t>
        </r>
      </text>
    </comment>
    <comment ref="L58" authorId="1" shapeId="0" xr:uid="{0F829D26-716F-4FAA-A4BD-7118DE33C661}">
      <text>
        <r>
          <rPr>
            <b/>
            <sz val="9"/>
            <color indexed="81"/>
            <rFont val="Tahoma"/>
            <family val="2"/>
          </rPr>
          <t>Base Wage Rate</t>
        </r>
        <r>
          <rPr>
            <sz val="9"/>
            <color indexed="81"/>
            <rFont val="Tahoma"/>
            <family val="2"/>
          </rPr>
          <t xml:space="preserve">
</t>
        </r>
      </text>
    </comment>
    <comment ref="O58" authorId="1" shapeId="0" xr:uid="{2BA91864-B01E-4E2D-8CC5-63882CEB6A00}">
      <text>
        <r>
          <rPr>
            <sz val="9"/>
            <color indexed="81"/>
            <rFont val="Tahoma"/>
            <family val="2"/>
          </rPr>
          <t xml:space="preserve">Savings Plan Deduction
</t>
        </r>
      </text>
    </comment>
    <comment ref="P58" authorId="1" shapeId="0" xr:uid="{CC2CC0F5-13EF-403E-9C0D-CCE3F6DEF277}">
      <text>
        <r>
          <rPr>
            <sz val="9"/>
            <color indexed="81"/>
            <rFont val="Tahoma"/>
            <family val="2"/>
          </rPr>
          <t xml:space="preserve">Working Dues Check-Off Deduction + Organizing Dues Check-Off Deduction
</t>
        </r>
      </text>
    </comment>
    <comment ref="Q58" authorId="1" shapeId="0" xr:uid="{4FCEF611-65AA-459B-BDF5-ED783AC10792}">
      <text>
        <r>
          <rPr>
            <b/>
            <sz val="9"/>
            <color indexed="81"/>
            <rFont val="Tahoma"/>
            <family val="2"/>
          </rPr>
          <t>Health &amp; Welfare</t>
        </r>
      </text>
    </comment>
    <comment ref="R58" authorId="2" shapeId="0" xr:uid="{00000000-0006-0000-0000-000011000000}">
      <text>
        <r>
          <rPr>
            <b/>
            <sz val="9"/>
            <color indexed="81"/>
            <rFont val="Tahoma"/>
            <family val="2"/>
          </rPr>
          <t>Nelms, Pam :</t>
        </r>
        <r>
          <rPr>
            <sz val="9"/>
            <color indexed="81"/>
            <rFont val="Tahoma"/>
            <family val="2"/>
          </rPr>
          <t xml:space="preserve">
2019 - NL as per http://ironworkers512.com/pages/wage-fringe-schedules
</t>
        </r>
        <r>
          <rPr>
            <sz val="10"/>
            <color indexed="81"/>
            <rFont val="Tahoma"/>
            <family val="2"/>
          </rPr>
          <t xml:space="preserve">DBP = $9.75 &amp; DCP = $9.00
</t>
        </r>
        <r>
          <rPr>
            <b/>
            <sz val="10"/>
            <color indexed="81"/>
            <rFont val="Tahoma"/>
            <family val="2"/>
          </rPr>
          <t>2020 - Defined Benefit Pension + Defined Contribution Pension</t>
        </r>
      </text>
    </comment>
    <comment ref="S58" authorId="1" shapeId="0" xr:uid="{F71A4D3D-9C13-4BC3-96A5-0B4055779B04}">
      <text>
        <r>
          <rPr>
            <b/>
            <sz val="9"/>
            <color indexed="81"/>
            <rFont val="Tahoma"/>
            <family val="2"/>
          </rPr>
          <t>Apprenticeship Training Fund</t>
        </r>
        <r>
          <rPr>
            <sz val="9"/>
            <color indexed="81"/>
            <rFont val="Tahoma"/>
            <family val="2"/>
          </rPr>
          <t xml:space="preserve">
</t>
        </r>
      </text>
    </comment>
    <comment ref="W58" authorId="0" shapeId="0" xr:uid="{00000000-0006-0000-0000-000012000000}">
      <text>
        <r>
          <rPr>
            <b/>
            <sz val="8"/>
            <color indexed="81"/>
            <rFont val="Tahoma"/>
            <family val="2"/>
          </rPr>
          <t>Nelmspk0:</t>
        </r>
        <r>
          <rPr>
            <sz val="8"/>
            <color indexed="81"/>
            <rFont val="Tahoma"/>
            <family val="2"/>
          </rPr>
          <t xml:space="preserve">
Has historically not been paid by city. </t>
        </r>
      </text>
    </comment>
    <comment ref="K59" authorId="0" shapeId="0" xr:uid="{00000000-0006-0000-0000-000013000000}">
      <text>
        <r>
          <rPr>
            <b/>
            <sz val="12"/>
            <color indexed="81"/>
            <rFont val="Tahoma"/>
            <family val="2"/>
          </rPr>
          <t>Nelmspk0:</t>
        </r>
        <r>
          <rPr>
            <sz val="12"/>
            <color indexed="81"/>
            <rFont val="Tahoma"/>
            <family val="2"/>
          </rPr>
          <t xml:space="preserve">
 Iron Workers do not get time and half on non-taxable fringe benefits</t>
        </r>
        <r>
          <rPr>
            <sz val="8"/>
            <color indexed="81"/>
            <rFont val="Tahoma"/>
            <family val="2"/>
          </rPr>
          <t>,</t>
        </r>
      </text>
    </comment>
    <comment ref="P72" authorId="1" shapeId="0" xr:uid="{CEA1AF55-7D60-481C-A5C3-59BFF8FFB234}">
      <text>
        <r>
          <rPr>
            <b/>
            <sz val="9"/>
            <color indexed="81"/>
            <rFont val="Tahoma"/>
            <family val="2"/>
          </rPr>
          <t>check on formula</t>
        </r>
        <r>
          <rPr>
            <sz val="9"/>
            <color indexed="81"/>
            <rFont val="Tahoma"/>
            <family val="2"/>
          </rPr>
          <t xml:space="preserve">
</t>
        </r>
      </text>
    </comment>
    <comment ref="L82" authorId="1" shapeId="0" xr:uid="{92946047-5DAC-4C7D-A202-8CB92322794A}">
      <text>
        <r>
          <rPr>
            <sz val="9"/>
            <color indexed="81"/>
            <rFont val="Tahoma"/>
            <family val="2"/>
          </rPr>
          <t xml:space="preserve">Base
</t>
        </r>
      </text>
    </comment>
    <comment ref="P82" authorId="1" shapeId="0" xr:uid="{7FFAF564-FB0A-44F0-B24C-330E23899899}">
      <text>
        <r>
          <rPr>
            <sz val="9"/>
            <color indexed="81"/>
            <rFont val="Tahoma"/>
            <family val="2"/>
          </rPr>
          <t xml:space="preserve">Check-Off Dues
</t>
        </r>
      </text>
    </comment>
    <comment ref="Q82" authorId="1" shapeId="0" xr:uid="{CEF3DE95-BD3D-4C4E-9660-B6E3DE31A3CD}">
      <text>
        <r>
          <rPr>
            <sz val="9"/>
            <color indexed="81"/>
            <rFont val="Tahoma"/>
            <family val="2"/>
          </rPr>
          <t>Health &amp; Welfare</t>
        </r>
        <r>
          <rPr>
            <sz val="9"/>
            <color indexed="81"/>
            <rFont val="Tahoma"/>
            <family val="2"/>
          </rPr>
          <t xml:space="preserve">
</t>
        </r>
      </text>
    </comment>
    <comment ref="R82" authorId="1" shapeId="0" xr:uid="{ECE5D0A6-38BC-40FE-849B-87D7FFB687F4}">
      <text>
        <r>
          <rPr>
            <sz val="9"/>
            <color indexed="81"/>
            <rFont val="Tahoma"/>
            <family val="2"/>
          </rPr>
          <t>DC82 DB Plan + DC82 DC Plan</t>
        </r>
      </text>
    </comment>
    <comment ref="S82" authorId="2" shapeId="0" xr:uid="{00000000-0006-0000-0000-000014000000}">
      <text>
        <r>
          <rPr>
            <b/>
            <sz val="9"/>
            <color indexed="81"/>
            <rFont val="Tahoma"/>
            <family val="2"/>
          </rPr>
          <t>Nelms, Pam :</t>
        </r>
        <r>
          <rPr>
            <sz val="9"/>
            <color indexed="81"/>
            <rFont val="Tahoma"/>
            <family val="2"/>
          </rPr>
          <t xml:space="preserve">
</t>
        </r>
        <r>
          <rPr>
            <sz val="14"/>
            <color indexed="81"/>
            <rFont val="Tahoma"/>
            <family val="2"/>
          </rPr>
          <t xml:space="preserve">We pay only the LOCAL Apprentice Fund , not the industry funds. Of the $0.99 per hour currently in the union sheet, only $0.64 per hour is for FTI/UM (Finishing Trades Institute of the Upper Midwest)
</t>
        </r>
      </text>
    </comment>
    <comment ref="W82" authorId="0" shapeId="0" xr:uid="{00000000-0006-0000-0000-000015000000}">
      <text>
        <r>
          <rPr>
            <b/>
            <sz val="8"/>
            <color indexed="81"/>
            <rFont val="Tahoma"/>
            <family val="2"/>
          </rPr>
          <t>Nelmspk0:</t>
        </r>
        <r>
          <rPr>
            <sz val="8"/>
            <color indexed="81"/>
            <rFont val="Tahoma"/>
            <family val="2"/>
          </rPr>
          <t xml:space="preserve">
This is not paid by city. </t>
        </r>
      </text>
    </comment>
    <comment ref="K83" authorId="0" shapeId="0" xr:uid="{00000000-0006-0000-0000-000016000000}">
      <text>
        <r>
          <rPr>
            <b/>
            <sz val="8"/>
            <color indexed="81"/>
            <rFont val="Tahoma"/>
            <family val="2"/>
          </rPr>
          <t>Nelmspk0:</t>
        </r>
        <r>
          <rPr>
            <sz val="8"/>
            <color indexed="81"/>
            <rFont val="Tahoma"/>
            <family val="2"/>
          </rPr>
          <t xml:space="preserve">
</t>
        </r>
        <r>
          <rPr>
            <sz val="12"/>
            <color indexed="81"/>
            <rFont val="Tahoma"/>
            <family val="2"/>
          </rPr>
          <t xml:space="preserve"> Painters do not get time and half on non-taxable fringe benefits,</t>
        </r>
      </text>
    </comment>
    <comment ref="R84" authorId="1" shapeId="0" xr:uid="{8D62D838-8B65-4F56-9A59-2BF6C019285E}">
      <text>
        <r>
          <rPr>
            <sz val="9"/>
            <color indexed="81"/>
            <rFont val="Tahoma"/>
            <family val="2"/>
          </rPr>
          <t>DC82 DB Plan + DC82 DC Plan</t>
        </r>
      </text>
    </comment>
    <comment ref="S84" authorId="2" shapeId="0" xr:uid="{00000000-0006-0000-0000-000017000000}">
      <text>
        <r>
          <rPr>
            <b/>
            <sz val="9"/>
            <color indexed="81"/>
            <rFont val="Tahoma"/>
            <family val="2"/>
          </rPr>
          <t>Nelms, Pam :</t>
        </r>
        <r>
          <rPr>
            <sz val="9"/>
            <color indexed="81"/>
            <rFont val="Tahoma"/>
            <family val="2"/>
          </rPr>
          <t xml:space="preserve">
</t>
        </r>
        <r>
          <rPr>
            <sz val="14"/>
            <color indexed="81"/>
            <rFont val="Tahoma"/>
            <family val="2"/>
          </rPr>
          <t xml:space="preserve">We pay only the LOCAL Apprentice Fund , not the industry funds. Of the $0.99 per hour currently in the union sheet, only $0.64 per hour is for FTI/UM (Finishing Trades Institute of the Upper Midwest)
Contact Mary Dady [mailto:mdady@IUPAT82.org] </t>
        </r>
      </text>
    </comment>
    <comment ref="W84" authorId="0" shapeId="0" xr:uid="{00000000-0006-0000-0000-000018000000}">
      <text>
        <r>
          <rPr>
            <b/>
            <sz val="8"/>
            <color indexed="81"/>
            <rFont val="Tahoma"/>
            <family val="2"/>
          </rPr>
          <t>Nelmspk0:</t>
        </r>
        <r>
          <rPr>
            <sz val="8"/>
            <color indexed="81"/>
            <rFont val="Tahoma"/>
            <family val="2"/>
          </rPr>
          <t xml:space="preserve">
This is not paid by city. </t>
        </r>
      </text>
    </comment>
    <comment ref="K85" authorId="0" shapeId="0" xr:uid="{00000000-0006-0000-0000-000019000000}">
      <text>
        <r>
          <rPr>
            <b/>
            <sz val="8"/>
            <color indexed="81"/>
            <rFont val="Tahoma"/>
            <family val="2"/>
          </rPr>
          <t>Nelmspk0:</t>
        </r>
        <r>
          <rPr>
            <sz val="8"/>
            <color indexed="81"/>
            <rFont val="Tahoma"/>
            <family val="2"/>
          </rPr>
          <t xml:space="preserve">
</t>
        </r>
        <r>
          <rPr>
            <sz val="12"/>
            <color indexed="81"/>
            <rFont val="Tahoma"/>
            <family val="2"/>
          </rPr>
          <t xml:space="preserve"> Painters do not get time and half on non-taxable fringe benefits,</t>
        </r>
      </text>
    </comment>
    <comment ref="L117" authorId="3" shapeId="0" xr:uid="{00000000-0006-0000-0000-00001A000000}">
      <text>
        <r>
          <rPr>
            <b/>
            <sz val="9"/>
            <color indexed="81"/>
            <rFont val="Tahoma"/>
            <family val="2"/>
          </rPr>
          <t>Nelms, Pam K.:</t>
        </r>
        <r>
          <rPr>
            <sz val="9"/>
            <color indexed="81"/>
            <rFont val="Tahoma"/>
            <family val="2"/>
          </rPr>
          <t xml:space="preserve">
"Savings" Also I</t>
        </r>
        <r>
          <rPr>
            <sz val="14"/>
            <color indexed="81"/>
            <rFont val="Tahoma"/>
            <family val="2"/>
          </rPr>
          <t xml:space="preserve">ncludes $0.20 per hour for Labor day.
</t>
        </r>
        <r>
          <rPr>
            <sz val="12"/>
            <color indexed="81"/>
            <rFont val="Tahoma"/>
            <family val="2"/>
          </rPr>
          <t xml:space="preserve">
Includes "Paycheck", "Savings", and "Organizing" </t>
        </r>
      </text>
    </comment>
    <comment ref="O117" authorId="0" shapeId="0" xr:uid="{00000000-0006-0000-0000-00001B000000}">
      <text>
        <r>
          <rPr>
            <b/>
            <sz val="14"/>
            <color indexed="81"/>
            <rFont val="Tahoma"/>
            <family val="2"/>
          </rPr>
          <t>Nelmspk0:</t>
        </r>
        <r>
          <rPr>
            <sz val="14"/>
            <color indexed="81"/>
            <rFont val="Tahoma"/>
            <family val="2"/>
          </rPr>
          <t xml:space="preserve">
Includes $0.20 per hour for Labor day. Ok per Tim Giles. (For 2017 = $2.28 + $0.20)
Updated to $.21 per hour for Labor Day as per 5-1-2019 rate sheet. (For 2019 = $2.28 + $0.21)
http://smw10.org/Metro_Minnesota</t>
        </r>
      </text>
    </comment>
    <comment ref="R117" authorId="4" shapeId="0" xr:uid="{00000000-0006-0000-0000-00001C000000}">
      <text>
        <r>
          <rPr>
            <b/>
            <sz val="9"/>
            <color indexed="81"/>
            <rFont val="Tahoma"/>
            <family val="2"/>
          </rPr>
          <t>Leigh, Nastassia:</t>
        </r>
        <r>
          <rPr>
            <sz val="9"/>
            <color indexed="81"/>
            <rFont val="Tahoma"/>
            <family val="2"/>
          </rPr>
          <t xml:space="preserve">
Includes "Supp-Pension", "Local Pension", "Natl Pension"</t>
        </r>
      </text>
    </comment>
    <comment ref="K118" authorId="0" shapeId="0" xr:uid="{00000000-0006-0000-0000-00001D000000}">
      <text>
        <r>
          <rPr>
            <b/>
            <sz val="18"/>
            <color indexed="81"/>
            <rFont val="Tahoma"/>
            <family val="2"/>
          </rPr>
          <t>Nelmspk0:</t>
        </r>
        <r>
          <rPr>
            <sz val="18"/>
            <color indexed="81"/>
            <rFont val="Tahoma"/>
            <family val="2"/>
          </rPr>
          <t xml:space="preserve">
 Sheet metal workers do not get time and half on non-taxable fringe benefits,</t>
        </r>
      </text>
    </comment>
    <comment ref="K129" authorId="0" shapeId="0" xr:uid="{00000000-0006-0000-0000-00001E000000}">
      <text>
        <r>
          <rPr>
            <b/>
            <sz val="8"/>
            <color indexed="81"/>
            <rFont val="Tahoma"/>
            <family val="2"/>
          </rPr>
          <t>Nelmspk0:</t>
        </r>
        <r>
          <rPr>
            <sz val="8"/>
            <color indexed="81"/>
            <rFont val="Tahoma"/>
            <family val="2"/>
          </rPr>
          <t xml:space="preserve">
 Sheet metal workers do not get time and half on non-taxable fringe benefits,</t>
        </r>
      </text>
    </comment>
    <comment ref="M139" authorId="1" shapeId="0" xr:uid="{85EAC756-E13C-4E06-BA16-E54D41A13DC4}">
      <text>
        <r>
          <rPr>
            <b/>
            <sz val="9"/>
            <color indexed="81"/>
            <rFont val="Tahoma"/>
            <family val="2"/>
          </rPr>
          <t>01 Journeyman Base Rates</t>
        </r>
        <r>
          <rPr>
            <sz val="9"/>
            <color indexed="81"/>
            <rFont val="Tahoma"/>
            <family val="2"/>
          </rPr>
          <t xml:space="preserve">
</t>
        </r>
      </text>
    </comment>
    <comment ref="O139" authorId="1" shapeId="0" xr:uid="{C69B19A9-A283-408F-8820-1B4D1684DFA1}">
      <text>
        <r>
          <rPr>
            <b/>
            <sz val="9"/>
            <color indexed="81"/>
            <rFont val="Tahoma"/>
            <family val="2"/>
          </rPr>
          <t>Credit Union</t>
        </r>
        <r>
          <rPr>
            <sz val="9"/>
            <color indexed="81"/>
            <rFont val="Tahoma"/>
            <family val="2"/>
          </rPr>
          <t xml:space="preserve">
</t>
        </r>
      </text>
    </comment>
    <comment ref="P139" authorId="2" shapeId="0" xr:uid="{00000000-0006-0000-0000-00001F000000}">
      <text>
        <r>
          <rPr>
            <b/>
            <sz val="12"/>
            <color indexed="81"/>
            <rFont val="Tahoma"/>
            <family val="2"/>
          </rPr>
          <t>Nelms, Pam :</t>
        </r>
        <r>
          <rPr>
            <sz val="12"/>
            <color indexed="81"/>
            <rFont val="Tahoma"/>
            <family val="2"/>
          </rPr>
          <t xml:space="preserve">
Dues = Dues check off ($1.28) and "UA" ($0.05). It used to include "Residential Rebate" but there is no funding going there now. 
Brenda: As of 2019, includes $0.10 for "UA Org"</t>
        </r>
      </text>
    </comment>
    <comment ref="Q139" authorId="1" shapeId="0" xr:uid="{2E7882F8-397B-42A3-9DFB-BC435FA80D37}">
      <text>
        <r>
          <rPr>
            <b/>
            <sz val="9"/>
            <color indexed="81"/>
            <rFont val="Tahoma"/>
            <family val="2"/>
          </rPr>
          <t>Health &amp; Welfare</t>
        </r>
        <r>
          <rPr>
            <sz val="9"/>
            <color indexed="81"/>
            <rFont val="Tahoma"/>
            <family val="2"/>
          </rPr>
          <t xml:space="preserve">
</t>
        </r>
      </text>
    </comment>
    <comment ref="R139" authorId="1" shapeId="0" xr:uid="{68A393A5-E250-42CC-B750-85A9DFB66705}">
      <text>
        <r>
          <rPr>
            <b/>
            <sz val="9"/>
            <color indexed="81"/>
            <rFont val="Tahoma"/>
            <family val="2"/>
          </rPr>
          <t xml:space="preserve">Defined Benefit </t>
        </r>
        <r>
          <rPr>
            <sz val="9"/>
            <color indexed="81"/>
            <rFont val="Tahoma"/>
            <family val="2"/>
          </rPr>
          <t xml:space="preserve">Pension + Defined Contribution Pension + Retiree Health Care Trust
</t>
        </r>
      </text>
    </comment>
    <comment ref="S139" authorId="1" shapeId="0" xr:uid="{05140377-B499-45F4-B12F-18B548B61983}">
      <text>
        <r>
          <rPr>
            <b/>
            <sz val="9"/>
            <color indexed="81"/>
            <rFont val="Tahoma"/>
            <family val="2"/>
          </rPr>
          <t>Apprentice Training</t>
        </r>
        <r>
          <rPr>
            <sz val="9"/>
            <color indexed="81"/>
            <rFont val="Tahoma"/>
            <family val="2"/>
          </rPr>
          <t xml:space="preserve">
</t>
        </r>
      </text>
    </comment>
    <comment ref="W139" authorId="0" shapeId="0" xr:uid="{00000000-0006-0000-0000-000020000000}">
      <text>
        <r>
          <rPr>
            <b/>
            <sz val="8"/>
            <color indexed="81"/>
            <rFont val="Tahoma"/>
            <family val="2"/>
          </rPr>
          <t>Nelmspk0:</t>
        </r>
        <r>
          <rPr>
            <sz val="8"/>
            <color indexed="81"/>
            <rFont val="Tahoma"/>
            <family val="2"/>
          </rPr>
          <t xml:space="preserve">
the city does not pay this one.</t>
        </r>
      </text>
    </comment>
    <comment ref="G142" authorId="1" shapeId="0" xr:uid="{62090E5C-AFF3-4A2B-A425-2B90D5593E04}">
      <text>
        <r>
          <rPr>
            <sz val="9"/>
            <color indexed="81"/>
            <rFont val="Tahoma"/>
            <family val="2"/>
          </rPr>
          <t xml:space="preserve">Dues check-off + UA + UA Org
</t>
        </r>
      </text>
    </comment>
    <comment ref="M148" authorId="1" shapeId="0" xr:uid="{B6AFAF0B-F0AA-4B6C-96F2-C4610D8CBC9C}">
      <text>
        <r>
          <rPr>
            <b/>
            <sz val="9"/>
            <color indexed="81"/>
            <rFont val="Tahoma"/>
            <family val="2"/>
          </rPr>
          <t>01 Foreman Base Rate</t>
        </r>
        <r>
          <rPr>
            <sz val="9"/>
            <color indexed="81"/>
            <rFont val="Tahoma"/>
            <family val="2"/>
          </rPr>
          <t xml:space="preserve">
</t>
        </r>
      </text>
    </comment>
    <comment ref="G151" authorId="1" shapeId="0" xr:uid="{DD172E08-138B-4F28-B59B-43E5B8A02103}">
      <text>
        <r>
          <rPr>
            <sz val="9"/>
            <color indexed="81"/>
            <rFont val="Tahoma"/>
            <family val="2"/>
          </rPr>
          <t xml:space="preserve">Dues check-off + UA + UA Org
</t>
        </r>
      </text>
    </comment>
    <comment ref="W156" authorId="0" shapeId="0" xr:uid="{00000000-0006-0000-0000-000024000000}">
      <text>
        <r>
          <rPr>
            <b/>
            <sz val="8"/>
            <color indexed="81"/>
            <rFont val="Tahoma"/>
            <family val="2"/>
          </rPr>
          <t>Nelmspk0:</t>
        </r>
        <r>
          <rPr>
            <sz val="8"/>
            <color indexed="81"/>
            <rFont val="Tahoma"/>
            <family val="2"/>
          </rPr>
          <t xml:space="preserve">
city has historically not paid this. </t>
        </r>
      </text>
    </comment>
    <comment ref="G161" authorId="2" shapeId="0" xr:uid="{00000000-0006-0000-0000-000025000000}">
      <text>
        <r>
          <rPr>
            <b/>
            <sz val="14"/>
            <color indexed="81"/>
            <rFont val="Tahoma"/>
            <family val="2"/>
          </rPr>
          <t>Nelms, Pam :</t>
        </r>
        <r>
          <rPr>
            <sz val="14"/>
            <color indexed="81"/>
            <rFont val="Tahoma"/>
            <family val="2"/>
          </rPr>
          <t xml:space="preserve">
Per Rick Eilers of Local 13, on 6/7/2013 The national pension contribution does NOT pyramid. All other fringes and the employee deduction after taxes for vacation and dues pyramid and are sent to the fringe fund pyramided. PKN</t>
        </r>
      </text>
    </comment>
    <comment ref="G172" authorId="2" shapeId="0" xr:uid="{00000000-0006-0000-0000-000026000000}">
      <text>
        <r>
          <rPr>
            <b/>
            <sz val="8"/>
            <color indexed="81"/>
            <rFont val="Tahoma"/>
            <family val="2"/>
          </rPr>
          <t>Nelms, Pam :</t>
        </r>
        <r>
          <rPr>
            <sz val="8"/>
            <color indexed="81"/>
            <rFont val="Tahoma"/>
            <family val="2"/>
          </rPr>
          <t xml:space="preserve">
Per Rick Eilers of Local 13, on 6/7/2013 The national pension contribution does NOT pyramid. All other fringes and the employee deduction after taxes for vacation and dues pyramid and are sent to the fringe fund pyramided. PKN</t>
        </r>
      </text>
    </comment>
    <comment ref="G177" authorId="1" shapeId="0" xr:uid="{6EEE32E4-17FF-46BA-8E22-6F52E571E96B}">
      <text>
        <r>
          <rPr>
            <b/>
            <sz val="9"/>
            <color indexed="81"/>
            <rFont val="Tahoma"/>
            <family val="2"/>
          </rPr>
          <t>For all Plumbers, there's a new $.50 Building Access amount. Do we pay this and what category should it go under?</t>
        </r>
        <r>
          <rPr>
            <sz val="9"/>
            <color indexed="81"/>
            <rFont val="Tahoma"/>
            <family val="2"/>
          </rPr>
          <t xml:space="preserve">
</t>
        </r>
      </text>
    </comment>
    <comment ref="G182" authorId="2" shapeId="0" xr:uid="{00000000-0006-0000-0000-000027000000}">
      <text>
        <r>
          <rPr>
            <b/>
            <sz val="8"/>
            <color indexed="81"/>
            <rFont val="Tahoma"/>
            <family val="2"/>
          </rPr>
          <t>Nelms, Pam :</t>
        </r>
        <r>
          <rPr>
            <sz val="8"/>
            <color indexed="81"/>
            <rFont val="Tahoma"/>
            <family val="2"/>
          </rPr>
          <t xml:space="preserve">
Per Rick Eilers of Local 13, on 6/7/2013 The national pension contribution does NOT pyramid. All other fringes and the employee deduction after taxes for vacation and dues pyramid and are sent to the fringe fund pyramided. PKN</t>
        </r>
      </text>
    </comment>
    <comment ref="G187" authorId="1" shapeId="0" xr:uid="{208E000E-1C83-4B4D-8A61-ACEF1F716315}">
      <text>
        <r>
          <rPr>
            <b/>
            <sz val="9"/>
            <color indexed="81"/>
            <rFont val="Tahoma"/>
            <family val="2"/>
          </rPr>
          <t>For all Plumbers, there's a new $.50 Building Access amount. Do we pay this and what category should it go under?</t>
        </r>
        <r>
          <rPr>
            <sz val="9"/>
            <color indexed="81"/>
            <rFont val="Tahoma"/>
            <family val="2"/>
          </rPr>
          <t xml:space="preserve">
</t>
        </r>
      </text>
    </comment>
    <comment ref="G192" authorId="2" shapeId="0" xr:uid="{00000000-0006-0000-0000-000028000000}">
      <text>
        <r>
          <rPr>
            <b/>
            <sz val="8"/>
            <color indexed="81"/>
            <rFont val="Tahoma"/>
            <family val="2"/>
          </rPr>
          <t>Nelms, Pam :</t>
        </r>
        <r>
          <rPr>
            <sz val="8"/>
            <color indexed="81"/>
            <rFont val="Tahoma"/>
            <family val="2"/>
          </rPr>
          <t xml:space="preserve">
Per Rick Eilers of Local 13, on 6/7/2013 The national pension contribution does NOT pyramid. All other fringes and the employee deduction after taxes for vacation and dues pyramid and are sent to the fringe fund pyramided. PKN</t>
        </r>
      </text>
    </comment>
    <comment ref="W199" authorId="0" shapeId="0" xr:uid="{00000000-0006-0000-0000-000029000000}">
      <text>
        <r>
          <rPr>
            <b/>
            <sz val="8"/>
            <color indexed="81"/>
            <rFont val="Tahoma"/>
            <family val="2"/>
          </rPr>
          <t>Nelmspk0:</t>
        </r>
        <r>
          <rPr>
            <sz val="8"/>
            <color indexed="81"/>
            <rFont val="Tahoma"/>
            <family val="2"/>
          </rPr>
          <t xml:space="preserve">
city has historically not paid this.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s>
  <commentList>
    <comment ref="C5" authorId="0" shapeId="0" xr:uid="{DE7F17B0-DAED-4D4D-B807-EFCABCF38CA8}">
      <text>
        <r>
          <rPr>
            <sz val="9"/>
            <color indexed="81"/>
            <rFont val="Tahoma"/>
            <family val="2"/>
          </rPr>
          <t xml:space="preserve">Gross Wages
</t>
        </r>
      </text>
    </comment>
    <comment ref="F5" authorId="0" shapeId="0" xr:uid="{5AD07FC2-5308-4631-9662-C34D39546EEC}">
      <text>
        <r>
          <rPr>
            <b/>
            <sz val="9"/>
            <color indexed="81"/>
            <rFont val="Tahoma"/>
            <family val="2"/>
          </rPr>
          <t>Savings</t>
        </r>
        <r>
          <rPr>
            <sz val="9"/>
            <color indexed="81"/>
            <rFont val="Tahoma"/>
            <family val="2"/>
          </rPr>
          <t xml:space="preserve">
</t>
        </r>
      </text>
    </comment>
    <comment ref="G5" authorId="0" shapeId="0" xr:uid="{F7596C40-0E7E-42E0-B970-0FA3AE8EFA5D}">
      <text>
        <r>
          <rPr>
            <b/>
            <sz val="9"/>
            <color indexed="81"/>
            <rFont val="Tahoma"/>
            <family val="2"/>
          </rPr>
          <t>Dues</t>
        </r>
        <r>
          <rPr>
            <sz val="9"/>
            <color indexed="81"/>
            <rFont val="Tahoma"/>
            <family val="2"/>
          </rPr>
          <t xml:space="preserve">
</t>
        </r>
      </text>
    </comment>
    <comment ref="H5" authorId="0" shapeId="0" xr:uid="{75BA0A95-1EC1-4CA3-A8BA-D9D8EA39957F}">
      <text>
        <r>
          <rPr>
            <b/>
            <sz val="9"/>
            <color indexed="81"/>
            <rFont val="Tahoma"/>
            <family val="2"/>
          </rPr>
          <t xml:space="preserve">Health &amp; DC Pension
</t>
        </r>
        <r>
          <rPr>
            <sz val="9"/>
            <color indexed="81"/>
            <rFont val="Tahoma"/>
            <family val="2"/>
          </rPr>
          <t xml:space="preserve">
</t>
        </r>
      </text>
    </comment>
    <comment ref="I5" authorId="0" shapeId="0" xr:uid="{58706BCD-DC61-4CD4-B79D-3F522CFA3E50}">
      <text>
        <r>
          <rPr>
            <b/>
            <sz val="9"/>
            <color indexed="81"/>
            <rFont val="Tahoma"/>
            <family val="2"/>
          </rPr>
          <t xml:space="preserve">DB Pension + UBC fund
</t>
        </r>
        <r>
          <rPr>
            <sz val="9"/>
            <color indexed="81"/>
            <rFont val="Tahoma"/>
            <family val="2"/>
          </rPr>
          <t xml:space="preserve">
</t>
        </r>
      </text>
    </comment>
    <comment ref="J5" authorId="0" shapeId="0" xr:uid="{9946F709-1AC5-453A-BD2E-F217F6944CDB}">
      <text>
        <r>
          <rPr>
            <sz val="9"/>
            <color indexed="81"/>
            <rFont val="Tahoma"/>
            <family val="2"/>
          </rPr>
          <t xml:space="preserve">Apprentice/Education
</t>
        </r>
      </text>
    </comment>
    <comment ref="L5" authorId="0" shapeId="0" xr:uid="{443E0EE5-B8D9-4B27-98DA-A0F13FED58F4}">
      <text>
        <r>
          <rPr>
            <sz val="9"/>
            <color indexed="81"/>
            <rFont val="Tahoma"/>
            <family val="2"/>
          </rPr>
          <t xml:space="preserve">2021: Consistently $0.02 off of Carpenter's schedule b/c we don't include Fair Contracting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Nelmspk0</author>
  </authors>
  <commentList>
    <comment ref="A1" authorId="0" shapeId="0" xr:uid="{00000000-0006-0000-0100-000001000000}">
      <text>
        <r>
          <rPr>
            <b/>
            <sz val="8"/>
            <color indexed="81"/>
            <rFont val="Tahoma"/>
            <family val="2"/>
          </rPr>
          <t>Nelmspk0:</t>
        </r>
        <r>
          <rPr>
            <sz val="8"/>
            <color indexed="81"/>
            <rFont val="Tahoma"/>
            <family val="2"/>
          </rPr>
          <t xml:space="preserve">
All done and proofed Aug 16 2011 PKN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Nelmspk0</author>
  </authors>
  <commentList>
    <comment ref="A1" authorId="0" shapeId="0" xr:uid="{00000000-0006-0000-0200-000001000000}">
      <text>
        <r>
          <rPr>
            <b/>
            <sz val="8"/>
            <color indexed="81"/>
            <rFont val="Tahoma"/>
            <family val="2"/>
          </rPr>
          <t>Nelmspk0:</t>
        </r>
        <r>
          <rPr>
            <sz val="8"/>
            <color indexed="81"/>
            <rFont val="Tahoma"/>
            <family val="2"/>
          </rPr>
          <t xml:space="preserve">
Change in allocation of Pension fund money. Note that the amount decreasing for wages and the offset for pesnion contribution not the same. This is because the % for wages is off the journeyman rate.That amount at 100% is equal offset.  PKN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Nelmspk0</author>
  </authors>
  <commentList>
    <comment ref="A1" authorId="0" shapeId="0" xr:uid="{00000000-0006-0000-0300-000001000000}">
      <text>
        <r>
          <rPr>
            <b/>
            <sz val="8"/>
            <color indexed="81"/>
            <rFont val="Tahoma"/>
            <family val="2"/>
          </rPr>
          <t>Nelmspk0:</t>
        </r>
        <r>
          <rPr>
            <sz val="8"/>
            <color indexed="81"/>
            <rFont val="Tahoma"/>
            <family val="2"/>
          </rPr>
          <t xml:space="preserve">
Change in allocation of Pension fund money. Note that the amount decreasing for wages and the offset for pesnion contribution not the same. This is because the % for wages is off the journeyman rate.That amount at 100% is equal offset.  PKN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Leigh, Nastassia</author>
  </authors>
  <commentList>
    <comment ref="B9" authorId="0" shapeId="0" xr:uid="{AF6D84EC-1932-4D5B-9473-9E806CB72235}">
      <text>
        <r>
          <rPr>
            <b/>
            <sz val="9"/>
            <color indexed="81"/>
            <rFont val="Tahoma"/>
            <family val="2"/>
          </rPr>
          <t>Miller, Brenda :</t>
        </r>
        <r>
          <rPr>
            <sz val="9"/>
            <color indexed="81"/>
            <rFont val="Tahoma"/>
            <family val="2"/>
          </rPr>
          <t xml:space="preserve">
Savings</t>
        </r>
      </text>
    </comment>
    <comment ref="C14" authorId="1" shapeId="0" xr:uid="{00000000-0006-0000-0600-000001000000}">
      <text>
        <r>
          <rPr>
            <b/>
            <sz val="9"/>
            <color indexed="81"/>
            <rFont val="Tahoma"/>
            <family val="2"/>
          </rPr>
          <t>Leigh, Nastassia:</t>
        </r>
        <r>
          <rPr>
            <sz val="9"/>
            <color indexed="81"/>
            <rFont val="Tahoma"/>
            <family val="2"/>
          </rPr>
          <t xml:space="preserve">
DC82 DB Plan + DC82 DC Plan</t>
        </r>
      </text>
    </comment>
    <comment ref="D14" authorId="1" shapeId="0" xr:uid="{08520D8A-3CB2-48C5-8526-CA3756797FC9}">
      <text>
        <r>
          <rPr>
            <b/>
            <sz val="9"/>
            <color indexed="81"/>
            <rFont val="Tahoma"/>
            <family val="2"/>
          </rPr>
          <t>Leigh, Nastassia:</t>
        </r>
        <r>
          <rPr>
            <sz val="9"/>
            <color indexed="81"/>
            <rFont val="Tahoma"/>
            <family val="2"/>
          </rPr>
          <t xml:space="preserve">
DC82 DB Plan + DC82 DC Plan</t>
        </r>
      </text>
    </comment>
    <comment ref="E14" authorId="1" shapeId="0" xr:uid="{B726D9F0-570E-4224-A07E-BFAF938F33E4}">
      <text>
        <r>
          <rPr>
            <b/>
            <sz val="9"/>
            <color indexed="81"/>
            <rFont val="Tahoma"/>
            <family val="2"/>
          </rPr>
          <t>Leigh, Nastassia:</t>
        </r>
        <r>
          <rPr>
            <sz val="9"/>
            <color indexed="81"/>
            <rFont val="Tahoma"/>
            <family val="2"/>
          </rPr>
          <t xml:space="preserve">
DC82 DB Plan + DC82 DC Plan</t>
        </r>
      </text>
    </comment>
    <comment ref="F14" authorId="1" shapeId="0" xr:uid="{6C905075-61EE-4B67-A747-A26C09A871E0}">
      <text>
        <r>
          <rPr>
            <b/>
            <sz val="9"/>
            <color indexed="81"/>
            <rFont val="Tahoma"/>
            <family val="2"/>
          </rPr>
          <t>Leigh, Nastassia:</t>
        </r>
        <r>
          <rPr>
            <sz val="9"/>
            <color indexed="81"/>
            <rFont val="Tahoma"/>
            <family val="2"/>
          </rPr>
          <t xml:space="preserve">
DC82 DB Plan + DC82 DC Plan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s>
  <commentList>
    <comment ref="B9" authorId="0" shapeId="0" xr:uid="{D6961DB4-0C04-44AF-B861-AFB4B79F3099}">
      <text>
        <r>
          <rPr>
            <b/>
            <sz val="9"/>
            <color indexed="81"/>
            <rFont val="Tahoma"/>
            <family val="2"/>
          </rPr>
          <t>Hourly Base Wage</t>
        </r>
        <r>
          <rPr>
            <sz val="9"/>
            <color indexed="81"/>
            <rFont val="Tahoma"/>
            <family val="2"/>
          </rPr>
          <t xml:space="preserve">
</t>
        </r>
      </text>
    </comment>
    <comment ref="B10" authorId="0" shapeId="0" xr:uid="{B6C60AF4-084A-4D0B-92A8-4E42EFFB3169}">
      <text>
        <r>
          <rPr>
            <b/>
            <sz val="9"/>
            <color indexed="81"/>
            <rFont val="Tahoma"/>
            <family val="2"/>
          </rPr>
          <t xml:space="preserve">Working Dues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Miller, Brenda </author>
  </authors>
  <commentList>
    <comment ref="A1" authorId="0" shapeId="0" xr:uid="{67B00F9B-E6F6-4288-800D-090A1F7D9CEA}">
      <text>
        <r>
          <rPr>
            <b/>
            <sz val="9"/>
            <color indexed="81"/>
            <rFont val="Tahoma"/>
            <family val="2"/>
          </rPr>
          <t>Miller, Brenda :</t>
        </r>
        <r>
          <rPr>
            <sz val="9"/>
            <color indexed="81"/>
            <rFont val="Tahoma"/>
            <family val="2"/>
          </rPr>
          <t xml:space="preserve">
We seem to be missing the apprentice Ironworker rates</t>
        </r>
      </text>
    </comment>
  </commentList>
</comments>
</file>

<file path=xl/sharedStrings.xml><?xml version="1.0" encoding="utf-8"?>
<sst xmlns="http://schemas.openxmlformats.org/spreadsheetml/2006/main" count="929" uniqueCount="432">
  <si>
    <t>P</t>
  </si>
  <si>
    <t>N</t>
  </si>
  <si>
    <t>H</t>
  </si>
  <si>
    <t>C91110</t>
  </si>
  <si>
    <t>C91100</t>
  </si>
  <si>
    <t>C91150</t>
  </si>
  <si>
    <t>C91160</t>
  </si>
  <si>
    <t>C91830</t>
  </si>
  <si>
    <t>C91835</t>
  </si>
  <si>
    <t>C91850</t>
  </si>
  <si>
    <t>C91860</t>
  </si>
  <si>
    <t>C92000</t>
  </si>
  <si>
    <t>C92060</t>
  </si>
  <si>
    <t>C92070</t>
  </si>
  <si>
    <t>C92150</t>
  </si>
  <si>
    <t>C92160</t>
  </si>
  <si>
    <t>Group II (Temporary) continued:</t>
  </si>
  <si>
    <t xml:space="preserve">Apprentice </t>
  </si>
  <si>
    <t>Plumber</t>
  </si>
  <si>
    <t xml:space="preserve">Non-taxable Fringe </t>
  </si>
  <si>
    <t>First Year</t>
  </si>
  <si>
    <t>Second Year</t>
  </si>
  <si>
    <t>Third Year</t>
  </si>
  <si>
    <t>Fourth Year</t>
  </si>
  <si>
    <t>Fifth Year</t>
  </si>
  <si>
    <t>C91820</t>
  </si>
  <si>
    <t>Inspector, Rainleader Outside Trades</t>
  </si>
  <si>
    <t>Vacation</t>
  </si>
  <si>
    <t>Dues</t>
  </si>
  <si>
    <t>Health</t>
  </si>
  <si>
    <t>Pension</t>
  </si>
  <si>
    <t>Apprentice</t>
  </si>
  <si>
    <t>Overtime</t>
  </si>
  <si>
    <t>Total Non-Taxable</t>
  </si>
  <si>
    <t>Straight time</t>
  </si>
  <si>
    <t xml:space="preserve">be deducted from the employees after tax earnings and be sent to union. </t>
  </si>
  <si>
    <t>Foreman, Sheet Metal Worker</t>
  </si>
  <si>
    <t xml:space="preserve">Foreman, Plumber, Plumber/Welder </t>
  </si>
  <si>
    <t>Foreman, Plumber Master in charge</t>
  </si>
  <si>
    <t>Promo</t>
  </si>
  <si>
    <t xml:space="preserve">After tax dues sent to union: </t>
  </si>
  <si>
    <t xml:space="preserve">Contact Labor Relations if other building trade apprenctices are hired so that the wage schedule may be created and set up in HRIS. </t>
  </si>
  <si>
    <t>Hourly only</t>
  </si>
  <si>
    <t>Hourly + Dues</t>
  </si>
  <si>
    <t>Foreman</t>
  </si>
  <si>
    <t>C91900 &amp; C91950</t>
  </si>
  <si>
    <t>C91960 &amp; C91955</t>
  </si>
  <si>
    <t>1963ER</t>
  </si>
  <si>
    <t>1965ER</t>
  </si>
  <si>
    <t>1966ER</t>
  </si>
  <si>
    <t>1967ER</t>
  </si>
  <si>
    <t>1968ER</t>
  </si>
  <si>
    <t>1969ER</t>
  </si>
  <si>
    <t>1970ER</t>
  </si>
  <si>
    <t>1971ER</t>
  </si>
  <si>
    <t>1972ER</t>
  </si>
  <si>
    <t xml:space="preserve">FLSA </t>
  </si>
  <si>
    <t>OTC</t>
  </si>
  <si>
    <t>Job Code</t>
  </si>
  <si>
    <t>Deduction Code</t>
  </si>
  <si>
    <t>Salary Grade</t>
  </si>
  <si>
    <t>Bricklayer</t>
  </si>
  <si>
    <t>Foreman, Bricklayer</t>
  </si>
  <si>
    <t>Foreman, Iron Worker</t>
  </si>
  <si>
    <t>Sheet Metal Worker</t>
  </si>
  <si>
    <t xml:space="preserve">Foreman, Pipefitter &amp; Foreman, Pipefitter/Instrumentation </t>
  </si>
  <si>
    <t xml:space="preserve">Plumber, Plumber/Welder </t>
  </si>
  <si>
    <t xml:space="preserve">Foreman, Painter </t>
  </si>
  <si>
    <t>(hrly + Dues + Vacation)</t>
  </si>
  <si>
    <t xml:space="preserve">Total Taxable </t>
  </si>
  <si>
    <t>Total Taxable</t>
  </si>
  <si>
    <t>Hourlly base</t>
  </si>
  <si>
    <t>HOURLY RATE</t>
  </si>
  <si>
    <t>Total Paid package</t>
  </si>
  <si>
    <t>CX3 - Effective May 1, 2011</t>
  </si>
  <si>
    <t xml:space="preserve">Provided that there is no premium pay for Swing Scaffold work.    </t>
  </si>
  <si>
    <t>Step 1 - $19.06</t>
  </si>
  <si>
    <t>Step 2 - $22.31</t>
  </si>
  <si>
    <t>Step 3 - $27.35</t>
  </si>
  <si>
    <t>Step 4 - $31.60</t>
  </si>
  <si>
    <t>Step 5 - $34.85</t>
  </si>
  <si>
    <t>18..15</t>
  </si>
  <si>
    <t>CX3 - Effective January 1, 2012</t>
  </si>
  <si>
    <t>18..14</t>
  </si>
  <si>
    <t>CX3 - Effective June 1, 2012</t>
  </si>
  <si>
    <t>Vacation deduction</t>
  </si>
  <si>
    <t>Dues Deduction</t>
  </si>
  <si>
    <t xml:space="preserve">All employer-paid fringes are paid at the straight-time hourly rate for all hours worked. I.e., they do not pyramid. </t>
  </si>
  <si>
    <t>0..53</t>
  </si>
  <si>
    <t xml:space="preserve">Vacation and the employer-paid fringes do not pyramid. </t>
  </si>
  <si>
    <t xml:space="preserve">Carpenters </t>
  </si>
  <si>
    <t>https://www.agcmn.org/?page=BuildingTrades</t>
  </si>
  <si>
    <t xml:space="preserve">checked on </t>
  </si>
  <si>
    <t>website</t>
  </si>
  <si>
    <t>Bricklayers</t>
  </si>
  <si>
    <t>Iron Workers</t>
  </si>
  <si>
    <t>4/23/2014 "Pat" 651 632-8929</t>
  </si>
  <si>
    <t>Iron Worker</t>
  </si>
  <si>
    <t>Carpenter</t>
  </si>
  <si>
    <t xml:space="preserve">Painter </t>
  </si>
  <si>
    <t xml:space="preserve">Foreman, Carpenter                           </t>
  </si>
  <si>
    <t>Sal Grade</t>
  </si>
  <si>
    <t>FLSA</t>
  </si>
  <si>
    <t>Job Title</t>
  </si>
  <si>
    <t>Step</t>
  </si>
  <si>
    <t>Hrly Rate</t>
  </si>
  <si>
    <t>Eff Date</t>
  </si>
  <si>
    <t>Grade</t>
  </si>
  <si>
    <t>Sal Plan</t>
  </si>
  <si>
    <t>01</t>
  </si>
  <si>
    <t>Bricklayer (Outside Trades)-C</t>
  </si>
  <si>
    <t>CX3</t>
  </si>
  <si>
    <t>16</t>
  </si>
  <si>
    <t>Bricklayer Foreman (Out Tr)-C</t>
  </si>
  <si>
    <t>05</t>
  </si>
  <si>
    <t>Carpenter (Outside Trades)-C</t>
  </si>
  <si>
    <t>17</t>
  </si>
  <si>
    <t>Carpenter Foreman (Out Tr)-C</t>
  </si>
  <si>
    <t>25</t>
  </si>
  <si>
    <t>Inspector Rainleader Out Trd-C</t>
  </si>
  <si>
    <t>18</t>
  </si>
  <si>
    <t>Iron Worker (Outside Tr)-C</t>
  </si>
  <si>
    <t>19</t>
  </si>
  <si>
    <t>Iron Worker Foreman (Out)-C</t>
  </si>
  <si>
    <t>02</t>
  </si>
  <si>
    <t>Painter (Outside Trades)-C</t>
  </si>
  <si>
    <t>20</t>
  </si>
  <si>
    <t>Painter Foreman (Outside)-C</t>
  </si>
  <si>
    <t>C91900</t>
  </si>
  <si>
    <t>11</t>
  </si>
  <si>
    <t>Pipefitter (Outside Trades)-C</t>
  </si>
  <si>
    <t>C91950</t>
  </si>
  <si>
    <t>Pipefitter Instrmnt (Out)-C</t>
  </si>
  <si>
    <t>C91955</t>
  </si>
  <si>
    <t>21</t>
  </si>
  <si>
    <t>Pipefitter Instrmnt Frmn Out-C</t>
  </si>
  <si>
    <t>C91960</t>
  </si>
  <si>
    <t>Pipefitter Foreman (Out Tr)-C</t>
  </si>
  <si>
    <t>07</t>
  </si>
  <si>
    <t>Plumber (Outside Trades)-C</t>
  </si>
  <si>
    <t>22</t>
  </si>
  <si>
    <t>Plumber Foreman (Out) -C</t>
  </si>
  <si>
    <t>13</t>
  </si>
  <si>
    <t>Plumber Foreman Master(Out)-C</t>
  </si>
  <si>
    <t>09</t>
  </si>
  <si>
    <t>Sheet Metal Worker (Outside)-C</t>
  </si>
  <si>
    <t>23</t>
  </si>
  <si>
    <t>Sheet Metal Wrkr Foremn(Out)-C</t>
  </si>
  <si>
    <t>C92051</t>
  </si>
  <si>
    <t>07A</t>
  </si>
  <si>
    <t>Plumber Aprntc(Out)</t>
  </si>
  <si>
    <t>H&amp;W</t>
  </si>
  <si>
    <t>Retiree Health Trust</t>
  </si>
  <si>
    <t>Local Pension</t>
  </si>
  <si>
    <t>UA Pension</t>
  </si>
  <si>
    <t>Annuity</t>
  </si>
  <si>
    <t xml:space="preserve">Apprenticeship </t>
  </si>
  <si>
    <t xml:space="preserve"> </t>
  </si>
  <si>
    <t xml:space="preserve">Apprentice Painter </t>
  </si>
  <si>
    <t>0 - 2000 Hours (50%)</t>
  </si>
  <si>
    <t>2001 - 4000 Hours (65%)</t>
  </si>
  <si>
    <t>4001 - 5000 Hours (80%)</t>
  </si>
  <si>
    <t>5001 - 6000 Hours (90%)</t>
  </si>
  <si>
    <t>N-2</t>
  </si>
  <si>
    <t xml:space="preserve">APPRENTICE PAINTERS </t>
  </si>
  <si>
    <t>Hours         %</t>
  </si>
  <si>
    <t>0-2000        80</t>
  </si>
  <si>
    <t>2001-4000   90</t>
  </si>
  <si>
    <t>C91855</t>
  </si>
  <si>
    <t>C04113</t>
  </si>
  <si>
    <t>Job Code FLSA</t>
  </si>
  <si>
    <t>HRIS Rate</t>
  </si>
  <si>
    <t>Total Taxable = HRIS RATE</t>
  </si>
  <si>
    <t>Vacation and Dues contributions are taxable contributions on the part of the employee, not employer-paid fringes, and are withheld from an employee's net pay after all taxes.</t>
  </si>
  <si>
    <t xml:space="preserve">Time and half paid after 8 hrs in one day M-F, 40 hrs in a week, and on Saturday, or after 10 hours in a day if four 10's are scheduled. </t>
  </si>
  <si>
    <t xml:space="preserve">Vacation and Dues contributions are taxable contributions on the part of the employee, not employer-paid fringes, and are withheld from an employee's net pay after all taxes. </t>
  </si>
  <si>
    <t>Time and half paid after 8 hrs in one day M-F, 40 hrs in a week, and on Saturday, or after 10 hours in a day if four 10's are scheduled.</t>
  </si>
  <si>
    <t>THIS AMOUNT DOES NOT PYRAMID.</t>
  </si>
  <si>
    <t xml:space="preserve">from the employees after tax earnings and be sent to union. </t>
  </si>
  <si>
    <t>Step 1</t>
  </si>
  <si>
    <t>Step 2</t>
  </si>
  <si>
    <t>Step 3</t>
  </si>
  <si>
    <t>Step 4</t>
  </si>
  <si>
    <r>
      <t xml:space="preserve">Indentured </t>
    </r>
    <r>
      <rPr>
        <b/>
        <u/>
        <sz val="10"/>
        <rFont val="Calibri"/>
        <family val="2"/>
        <scheme val="minor"/>
      </rPr>
      <t>after</t>
    </r>
    <r>
      <rPr>
        <b/>
        <sz val="10"/>
        <rFont val="Calibri"/>
        <family val="2"/>
        <scheme val="minor"/>
      </rPr>
      <t xml:space="preserve"> January 1, 2013</t>
    </r>
  </si>
  <si>
    <t>`</t>
  </si>
  <si>
    <t>Total Taxable HRIS Rate</t>
  </si>
  <si>
    <t>Journeyman base = 34.44</t>
  </si>
  <si>
    <t>additional for labor day</t>
  </si>
  <si>
    <t>Pipefitter &amp; Pipefitter Instrumentation</t>
  </si>
  <si>
    <t xml:space="preserve"> regardless if the hours are straight-time, overtime or double-time.)</t>
  </si>
  <si>
    <t>regardless if the hours are straight-time, overtime or double-time.)</t>
  </si>
  <si>
    <t>(I.e., the rates remain the same for all hours worked, regardless if the hours are straight-time, overtime or double-time.)</t>
  </si>
  <si>
    <t xml:space="preserve"> (effective May 2, 2016)</t>
  </si>
  <si>
    <t xml:space="preserve"> (effective June 6, 2016)</t>
  </si>
  <si>
    <t>Organized Journeyperson:</t>
  </si>
  <si>
    <t xml:space="preserve">Entry Level Journeyperson: </t>
  </si>
  <si>
    <t>* Entry Level Journeypersons had to have been in the Union as a  Journeyperson by May 1, 2013 but prior to May 1, 2016.</t>
  </si>
  <si>
    <t>* Organized Journeypersons had to have been in the Union as a Journeyperson on or after May 1, 2016.</t>
  </si>
  <si>
    <t>? New</t>
  </si>
  <si>
    <t>Hourly only (Employee cash rate)</t>
  </si>
  <si>
    <t>CX3 - Effective May 1 2017</t>
  </si>
  <si>
    <t>Apprentice Plumber (Note that $0.16 per hour has been added to vacation fund for Labor Day)</t>
  </si>
  <si>
    <r>
      <t xml:space="preserve">Indentured </t>
    </r>
    <r>
      <rPr>
        <b/>
        <u/>
        <sz val="11"/>
        <rFont val="Calibri"/>
        <family val="2"/>
        <scheme val="minor"/>
      </rPr>
      <t>after</t>
    </r>
    <r>
      <rPr>
        <b/>
        <sz val="11"/>
        <rFont val="Calibri"/>
        <family val="2"/>
        <scheme val="minor"/>
      </rPr>
      <t xml:space="preserve"> January 1, 2013</t>
    </r>
  </si>
  <si>
    <t>Apprentice Painter</t>
  </si>
  <si>
    <t>1: 0-2000 Hours</t>
  </si>
  <si>
    <t>2: 2001-4000 Hours</t>
  </si>
  <si>
    <t>3: 4001-5000 Hours</t>
  </si>
  <si>
    <t>4: 5001-6000 Hours</t>
  </si>
  <si>
    <t>Industrial Painter</t>
  </si>
  <si>
    <t>FTI/UM</t>
  </si>
  <si>
    <t>Apprentice Iron Worker</t>
  </si>
  <si>
    <t>CX3 - Effective November 1 2019</t>
  </si>
  <si>
    <t>1st 6M</t>
  </si>
  <si>
    <t>2nd 6M</t>
  </si>
  <si>
    <t>3rd 6M</t>
  </si>
  <si>
    <t>4th 6M</t>
  </si>
  <si>
    <t>% of Journeyman</t>
  </si>
  <si>
    <t>Region A</t>
  </si>
  <si>
    <t>Region B</t>
  </si>
  <si>
    <t>Region C</t>
  </si>
  <si>
    <t>Training Fund</t>
  </si>
  <si>
    <t>Impact</t>
  </si>
  <si>
    <t>Total Package</t>
  </si>
  <si>
    <t>Fair Contracting
Foundation</t>
  </si>
  <si>
    <t>Journeyman Rt</t>
  </si>
  <si>
    <t>5th 6M</t>
  </si>
  <si>
    <t>6th 6M</t>
  </si>
  <si>
    <t>Apprentice Ironworker</t>
  </si>
  <si>
    <t>1st 6
Months</t>
  </si>
  <si>
    <t>2nd 6
Months</t>
  </si>
  <si>
    <t>3rd 6
Months</t>
  </si>
  <si>
    <t>4th 6
Months</t>
  </si>
  <si>
    <t>5th 6
Months</t>
  </si>
  <si>
    <t>6th 6
Months</t>
  </si>
  <si>
    <t>Journeyman
Rate*</t>
  </si>
  <si>
    <t>Defined
Benefit
Pension</t>
  </si>
  <si>
    <t>Defined
Contribution
Pension</t>
  </si>
  <si>
    <t>Health &amp;
Welfare</t>
  </si>
  <si>
    <t>Apprentice/
Training
Fund</t>
  </si>
  <si>
    <t>Fair
Contracting
Foundation</t>
  </si>
  <si>
    <t>Total
Package</t>
  </si>
  <si>
    <t>Region</t>
  </si>
  <si>
    <t>UA</t>
  </si>
  <si>
    <t>UA Org</t>
  </si>
  <si>
    <t>Defined Benefit Pension</t>
  </si>
  <si>
    <t>Retiree Health Care Trust</t>
  </si>
  <si>
    <t>Defined Benefit plan</t>
  </si>
  <si>
    <t>Defined contribution plan</t>
  </si>
  <si>
    <t>Wages</t>
  </si>
  <si>
    <t>HRA</t>
  </si>
  <si>
    <t>IU &amp; PPA Pension</t>
  </si>
  <si>
    <t>Vac</t>
  </si>
  <si>
    <t>IMI</t>
  </si>
  <si>
    <t>APPR</t>
  </si>
  <si>
    <t>Foreman's premium</t>
  </si>
  <si>
    <t>Base</t>
  </si>
  <si>
    <t>DC82 DB Plan</t>
  </si>
  <si>
    <t>DC82 DC Plan</t>
  </si>
  <si>
    <t>FT/UM</t>
  </si>
  <si>
    <t>ET/NT'L</t>
  </si>
  <si>
    <t>MPWEA/FCE</t>
  </si>
  <si>
    <t>FCE</t>
  </si>
  <si>
    <t>LMCI</t>
  </si>
  <si>
    <t>Instry &amp; Appr</t>
  </si>
  <si>
    <t>STAR</t>
  </si>
  <si>
    <t>DC82/CFC</t>
  </si>
  <si>
    <t>Total</t>
  </si>
  <si>
    <t>Savings</t>
  </si>
  <si>
    <t>Check-off Dues</t>
  </si>
  <si>
    <t xml:space="preserve">   </t>
  </si>
  <si>
    <t>CX3 - Effective May 1, 2020</t>
  </si>
  <si>
    <t>Paycheck</t>
  </si>
  <si>
    <t>Supp Pension</t>
  </si>
  <si>
    <t>National Pension</t>
  </si>
  <si>
    <t>Appr Fund</t>
  </si>
  <si>
    <t>Organizing</t>
  </si>
  <si>
    <t>DB Pension</t>
  </si>
  <si>
    <t>Fair Contracting</t>
  </si>
  <si>
    <t>Gross Wages</t>
  </si>
  <si>
    <t>$ Above Journeyman</t>
  </si>
  <si>
    <t>Base Wage Rate</t>
  </si>
  <si>
    <t>Impact Fund</t>
  </si>
  <si>
    <t>Savings Plan Deduction</t>
  </si>
  <si>
    <t>Working Dues Check-Off Ded</t>
  </si>
  <si>
    <t>Health &amp; Welfare</t>
  </si>
  <si>
    <t>Building Assessment</t>
  </si>
  <si>
    <t>not being paid</t>
  </si>
  <si>
    <t>52928C</t>
  </si>
  <si>
    <t>Health $Bank-RPP</t>
  </si>
  <si>
    <t>Organizing Dues Check-Off Ded</t>
  </si>
  <si>
    <t>CD82 DC Plan</t>
  </si>
  <si>
    <t>Industry &amp; Appr</t>
  </si>
  <si>
    <t>Foreman in charge of 5+ emps</t>
  </si>
  <si>
    <t>Check-off dues (Painter)</t>
  </si>
  <si>
    <t>Base (Painter)</t>
  </si>
  <si>
    <t>Base (Industrial)</t>
  </si>
  <si>
    <t>Check-off dues (Industrial)</t>
  </si>
  <si>
    <t>Credit Union</t>
  </si>
  <si>
    <t>Journeyman Base Rate</t>
  </si>
  <si>
    <t>Foreman Base Rate</t>
  </si>
  <si>
    <t>5/28/20200</t>
  </si>
  <si>
    <t>Brenda Miller</t>
  </si>
  <si>
    <t>Revised Foreman Painter rate from $40.20 to $38.70 - should be $1 more than journeyman Painter rate, not Industrial Painter rate</t>
  </si>
  <si>
    <t>Revised sheet metal worker rates per revised union schedule.</t>
  </si>
  <si>
    <t>Journeyperson</t>
  </si>
  <si>
    <t>UBC/CITF Fund</t>
  </si>
  <si>
    <t>Apprenticeship Trng Fund</t>
  </si>
  <si>
    <t>City does not pay</t>
  </si>
  <si>
    <t>Savings (Vacation)</t>
  </si>
  <si>
    <t>MIAF/MCIWA</t>
  </si>
  <si>
    <t>FCF</t>
  </si>
  <si>
    <t>Compare to union Total</t>
  </si>
  <si>
    <t>Foreman Premium</t>
  </si>
  <si>
    <t>FT/INTL</t>
  </si>
  <si>
    <t>MPEWA</t>
  </si>
  <si>
    <t>Compare to Painters Total</t>
  </si>
  <si>
    <t>Compare to Industrial Total</t>
  </si>
  <si>
    <t>overhead window-jacks, safety belts, structural steel, epoxy, commercial sandblasting, all  2-component paints, bridge work (except for guard rails and inside railings), swing stages (not including scaffolding), and spray painting</t>
  </si>
  <si>
    <t>Striping duties between 12:00 am and 8:00 am</t>
  </si>
  <si>
    <t>Pay
Type</t>
  </si>
  <si>
    <t>Total Non-Taxable (Health, Pension, Promo Apprent)</t>
  </si>
  <si>
    <t>HRIS RATE
(hrly, vac + dues)</t>
  </si>
  <si>
    <t>2-component paints, bridge work (except for guard rails and inside railings), swing stages (not including scaffolding), and spray painting,</t>
  </si>
  <si>
    <t>Provided that when a Painter is working on overhead window-jacks, safety belts, structural steel, epoxy, commercial sandblasting, all</t>
  </si>
  <si>
    <t>Source: Current CBT Painter schedule:</t>
  </si>
  <si>
    <t>Intl Training Fund</t>
  </si>
  <si>
    <t>Industry Fund</t>
  </si>
  <si>
    <t>Compare to Total Package</t>
  </si>
  <si>
    <t>Working Dues</t>
  </si>
  <si>
    <t>Pension Supplement</t>
  </si>
  <si>
    <t>PTSMN Pension</t>
  </si>
  <si>
    <t>Total Hourly Package</t>
  </si>
  <si>
    <t xml:space="preserve">Total Non-Taxable Fringe </t>
  </si>
  <si>
    <t>Taxable Base</t>
  </si>
  <si>
    <t>Note: make sure the rate sheet is specific</t>
  </si>
  <si>
    <t>to the City of Minneapolis</t>
  </si>
  <si>
    <t>Brenda</t>
  </si>
  <si>
    <t>0-1000</t>
  </si>
  <si>
    <t>3001-4000</t>
  </si>
  <si>
    <t>4001-5000</t>
  </si>
  <si>
    <t>5001-6000</t>
  </si>
  <si>
    <t>Title</t>
  </si>
  <si>
    <t>Pay Type</t>
  </si>
  <si>
    <t>Hrs</t>
  </si>
  <si>
    <t>Step 5</t>
  </si>
  <si>
    <t>Step 6</t>
  </si>
  <si>
    <t>Step 7</t>
  </si>
  <si>
    <t>Hours</t>
  </si>
  <si>
    <t>Apprentice Carpenter</t>
  </si>
  <si>
    <t>Added Apprentice Carpenter</t>
  </si>
  <si>
    <t>02A</t>
  </si>
  <si>
    <t>HRIS Rate
(hrly + Dues + Vacation)</t>
  </si>
  <si>
    <t>Apprentice Plumber</t>
  </si>
  <si>
    <t>59407C</t>
  </si>
  <si>
    <t>05A</t>
  </si>
  <si>
    <t>City doesn't pay for this</t>
  </si>
  <si>
    <t>Salary Schedule CX3 "Outside" Rates</t>
  </si>
  <si>
    <t>UANPF Pension</t>
  </si>
  <si>
    <t>Health+
DC Pension</t>
  </si>
  <si>
    <t>Health+DB Pension</t>
  </si>
  <si>
    <t>Carbolineum/Creosote Premium</t>
  </si>
  <si>
    <t>2501-3000</t>
  </si>
  <si>
    <t>1001-2000</t>
  </si>
  <si>
    <t>2001-2500</t>
  </si>
  <si>
    <t>6001-7000</t>
  </si>
  <si>
    <t>Health &amp; DC Pension</t>
  </si>
  <si>
    <t>Gross Wgs % of Journeyman</t>
  </si>
  <si>
    <t>matches Park Board</t>
  </si>
  <si>
    <t>Step 8</t>
  </si>
  <si>
    <t>Steps</t>
  </si>
  <si>
    <t>IWWP</t>
  </si>
  <si>
    <t>WWP</t>
  </si>
  <si>
    <t>City doesn't pay</t>
  </si>
  <si>
    <t>compare to Total</t>
  </si>
  <si>
    <t>City d/n pay</t>
  </si>
  <si>
    <t>Compare to Total Benefit Rate</t>
  </si>
  <si>
    <t>Compare to Total Taxable</t>
  </si>
  <si>
    <t>Compare to Total Non-Taxable</t>
  </si>
  <si>
    <t>Foreman Rate</t>
  </si>
  <si>
    <t>General Foreman Rate</t>
  </si>
  <si>
    <t>Medical</t>
  </si>
  <si>
    <t>Compare to Total Hrly Package</t>
  </si>
  <si>
    <t>Compare to Hourly Base Wage</t>
  </si>
  <si>
    <t>Compare to Total (Non-Taxed) Fringe</t>
  </si>
  <si>
    <t>TEMPORARY BUILDING TRADES (CX3) Effective May 1, 2025, unless otherwise noted.</t>
  </si>
  <si>
    <t>(effective May 1, 2025)</t>
  </si>
  <si>
    <t>(effective May 4, 2025)</t>
  </si>
  <si>
    <t>Fair Contract (FCF)/CILEC</t>
  </si>
  <si>
    <t>(i.e., the rates remain the same for all hours worked, regardless if the hours are straight-time, overtime or double-time.)</t>
  </si>
  <si>
    <t xml:space="preserve"> (effective May 5, 2025)</t>
  </si>
  <si>
    <t>MCEA</t>
  </si>
  <si>
    <t>Compare to Total - Painter</t>
  </si>
  <si>
    <t>Compare to Total - Painter/Industrial</t>
  </si>
  <si>
    <t>City doesn't pay?</t>
  </si>
  <si>
    <t>0-3000</t>
  </si>
  <si>
    <t>% of J?</t>
  </si>
  <si>
    <t>CX3 - Effective May 5, 2025</t>
  </si>
  <si>
    <t>CX3 - Effective May 1, 2025</t>
  </si>
  <si>
    <t>CAF</t>
  </si>
  <si>
    <t>City does not pay?</t>
  </si>
  <si>
    <t>Working Fee (Dues Check-Off)</t>
  </si>
  <si>
    <t>Apprentice Training (539 Training Fund)</t>
  </si>
  <si>
    <t>Dues Deduction OT</t>
  </si>
  <si>
    <t>Hourly Base Wage</t>
  </si>
  <si>
    <t>Total Taxable (HRIS Rate)</t>
  </si>
  <si>
    <t>(effective May 5, 2025)</t>
  </si>
  <si>
    <t>pending</t>
  </si>
  <si>
    <t>Til Pension</t>
  </si>
  <si>
    <t>BSC</t>
  </si>
  <si>
    <t>Total - Compare to Total on union worksheet</t>
  </si>
  <si>
    <t>Compare to Taxable Base</t>
  </si>
  <si>
    <t>Check-off dutes (Foreman)</t>
  </si>
  <si>
    <t>Double time paid on Sundays.</t>
  </si>
  <si>
    <t xml:space="preserve">Time and half paid after 8 hrs in one day, 40 hrs in a week, and on Saturday. Double time paid on Sundays. </t>
  </si>
  <si>
    <t>New Year's Day</t>
  </si>
  <si>
    <t>Memorial Day</t>
  </si>
  <si>
    <t>Independence Day</t>
  </si>
  <si>
    <t>Labor Day</t>
  </si>
  <si>
    <t>Thanksgiving Day</t>
  </si>
  <si>
    <t>Christmas Day on an emergency call-back basis</t>
  </si>
  <si>
    <t>Martin Luther King Day</t>
  </si>
  <si>
    <t>President's Day</t>
  </si>
  <si>
    <t>Juneteenth</t>
  </si>
  <si>
    <t>Indigenous Peoples Day</t>
  </si>
  <si>
    <t>Veterans Day</t>
  </si>
  <si>
    <t>Day After Thanksgiving</t>
  </si>
  <si>
    <t>Last Updated: October 20, 2025</t>
  </si>
  <si>
    <t xml:space="preserve">At the sole discretion of the City, an employee employed in the Temporary Building Trades may be permitted to work on the </t>
  </si>
  <si>
    <t xml:space="preserve">following days at the regular hourly wage rate and shall be paid any additional shift or pay differentials excluding holiday pay. </t>
  </si>
  <si>
    <t>An employee seeking to work on the holidays listed below must submit a request 2 weeks prior to the holiday, and all such requests</t>
  </si>
  <si>
    <t>Double time is paid for all work performed by Temporary Building Trades employees for the following holidays:</t>
  </si>
  <si>
    <t>are subject to approval by City management.  Work performed on an emergency call-back basis will receive double-time for the holidays listed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</si>
</sst>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8" formatCode="&quot;$&quot;#,##0.00_);[Red]\(&quot;$&quot;#,##0.00\)"/>
    <numFmt numFmtId="44" formatCode="_(&quot;$&quot;* #,##0.00_);_(&quot;$&quot;* \(#,##0.00\);_(&quot;$&quot;* &quot;-&quot;??_);_(@_)"/>
    <numFmt numFmtId="43" formatCode="_(* #,##0.00_);_(* \(#,##0.00\);_(* &quot;-&quot;??_);_(@_)"/>
    <numFmt numFmtId="164" formatCode="0.00_)"/>
    <numFmt numFmtId="165" formatCode="#,##0.000"/>
    <numFmt numFmtId="166" formatCode="#,##0.0000000"/>
    <numFmt numFmtId="167" formatCode="&quot;$&quot;#,##0.00"/>
    <numFmt numFmtId="168" formatCode="0.000000"/>
    <numFmt numFmtId="169" formatCode="0.0%"/>
    <numFmt numFmtId="170" formatCode="&quot;$&quot;#,##0.000"/>
    <numFmt numFmtId="171" formatCode="#,##0.0000"/>
  </numFmts>
  <fonts count="46">
    <font>
      <sz val="12"/>
      <name val="Helv"/>
    </font>
    <font>
      <sz val="8"/>
      <name val="Helv"/>
    </font>
    <font>
      <b/>
      <sz val="8"/>
      <name val="Helv"/>
    </font>
    <font>
      <sz val="11"/>
      <name val="Helv"/>
    </font>
    <font>
      <sz val="10"/>
      <name val="MS Sans Serif"/>
      <family val="2"/>
    </font>
    <font>
      <sz val="12"/>
      <name val="Helv"/>
    </font>
    <font>
      <b/>
      <sz val="10"/>
      <name val="MS Sans Serif"/>
      <family val="2"/>
    </font>
    <font>
      <sz val="8"/>
      <color indexed="81"/>
      <name val="Tahoma"/>
      <family val="2"/>
    </font>
    <font>
      <b/>
      <sz val="8"/>
      <color indexed="81"/>
      <name val="Tahoma"/>
      <family val="2"/>
    </font>
    <font>
      <sz val="8"/>
      <color indexed="10"/>
      <name val="Helv"/>
    </font>
    <font>
      <sz val="11"/>
      <name val="Calibri"/>
      <family val="2"/>
    </font>
    <font>
      <sz val="10"/>
      <name val="Arial Unicode MS"/>
      <family val="2"/>
    </font>
    <font>
      <b/>
      <sz val="10"/>
      <name val="Arial Unicode MS"/>
      <family val="2"/>
    </font>
    <font>
      <sz val="9"/>
      <color indexed="81"/>
      <name val="Tahoma"/>
      <family val="2"/>
    </font>
    <font>
      <b/>
      <sz val="9"/>
      <color indexed="81"/>
      <name val="Tahoma"/>
      <family val="2"/>
    </font>
    <font>
      <b/>
      <sz val="18"/>
      <name val="Calibri"/>
      <family val="2"/>
      <scheme val="minor"/>
    </font>
    <font>
      <b/>
      <sz val="10"/>
      <name val="Calibri"/>
      <family val="2"/>
      <scheme val="minor"/>
    </font>
    <font>
      <sz val="10"/>
      <name val="Calibri"/>
      <family val="2"/>
      <scheme val="minor"/>
    </font>
    <font>
      <sz val="10"/>
      <color theme="0"/>
      <name val="Calibri"/>
      <family val="2"/>
      <scheme val="minor"/>
    </font>
    <font>
      <sz val="11"/>
      <name val="Calibri"/>
      <family val="2"/>
      <scheme val="minor"/>
    </font>
    <font>
      <sz val="12"/>
      <name val="Calibri"/>
      <family val="2"/>
      <scheme val="minor"/>
    </font>
    <font>
      <b/>
      <u/>
      <sz val="11"/>
      <name val="Calibri"/>
      <family val="2"/>
      <scheme val="minor"/>
    </font>
    <font>
      <b/>
      <sz val="11"/>
      <name val="Calibri"/>
      <family val="2"/>
      <scheme val="minor"/>
    </font>
    <font>
      <b/>
      <sz val="12"/>
      <name val="Calibri"/>
      <family val="2"/>
      <scheme val="minor"/>
    </font>
    <font>
      <sz val="18"/>
      <name val="Calibri"/>
      <family val="2"/>
      <scheme val="minor"/>
    </font>
    <font>
      <b/>
      <sz val="8"/>
      <name val="Calibri"/>
      <family val="2"/>
      <scheme val="minor"/>
    </font>
    <font>
      <sz val="8"/>
      <name val="Calibri"/>
      <family val="2"/>
      <scheme val="minor"/>
    </font>
    <font>
      <b/>
      <u/>
      <sz val="10"/>
      <name val="Calibri"/>
      <family val="2"/>
      <scheme val="minor"/>
    </font>
    <font>
      <b/>
      <sz val="9"/>
      <name val="Calibri"/>
      <family val="2"/>
      <scheme val="minor"/>
    </font>
    <font>
      <sz val="9"/>
      <name val="Calibri"/>
      <family val="2"/>
      <scheme val="minor"/>
    </font>
    <font>
      <b/>
      <sz val="14"/>
      <name val="Calibri"/>
      <family val="2"/>
      <scheme val="minor"/>
    </font>
    <font>
      <sz val="20"/>
      <name val="Calibri"/>
      <family val="2"/>
      <scheme val="minor"/>
    </font>
    <font>
      <sz val="8"/>
      <color theme="0"/>
      <name val="Calibri"/>
      <family val="2"/>
      <scheme val="minor"/>
    </font>
    <font>
      <sz val="11"/>
      <color theme="0"/>
      <name val="Calibri"/>
      <family val="2"/>
      <scheme val="minor"/>
    </font>
    <font>
      <sz val="14"/>
      <color indexed="81"/>
      <name val="Tahoma"/>
      <family val="2"/>
    </font>
    <font>
      <sz val="12"/>
      <color indexed="81"/>
      <name val="Tahoma"/>
      <family val="2"/>
    </font>
    <font>
      <b/>
      <sz val="18"/>
      <color indexed="81"/>
      <name val="Tahoma"/>
      <family val="2"/>
    </font>
    <font>
      <sz val="18"/>
      <color indexed="81"/>
      <name val="Tahoma"/>
      <family val="2"/>
    </font>
    <font>
      <b/>
      <sz val="14"/>
      <color indexed="81"/>
      <name val="Tahoma"/>
      <family val="2"/>
    </font>
    <font>
      <b/>
      <sz val="10"/>
      <color theme="0"/>
      <name val="Calibri"/>
      <family val="2"/>
      <scheme val="minor"/>
    </font>
    <font>
      <b/>
      <sz val="12"/>
      <color indexed="81"/>
      <name val="Tahoma"/>
      <family val="2"/>
    </font>
    <font>
      <i/>
      <sz val="12"/>
      <name val="Calibri"/>
      <family val="2"/>
      <scheme val="minor"/>
    </font>
    <font>
      <sz val="10"/>
      <color indexed="81"/>
      <name val="Tahoma"/>
      <family val="2"/>
    </font>
    <font>
      <b/>
      <sz val="10"/>
      <color indexed="81"/>
      <name val="Tahoma"/>
      <family val="2"/>
    </font>
    <font>
      <sz val="14"/>
      <name val="Calibri"/>
      <family val="2"/>
      <scheme val="minor"/>
    </font>
    <font>
      <i/>
      <sz val="11"/>
      <name val="Calibri"/>
      <family val="2"/>
      <scheme val="minor"/>
    </font>
  </fonts>
  <fills count="17">
    <fill>
      <patternFill patternType="none"/>
    </fill>
    <fill>
      <patternFill patternType="gray125"/>
    </fill>
    <fill>
      <patternFill patternType="mediumGray">
        <fgColor indexed="22"/>
      </patternFill>
    </fill>
    <fill>
      <patternFill patternType="solid">
        <fgColor indexed="2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B17ED8"/>
        <bgColor indexed="64"/>
      </patternFill>
    </fill>
    <fill>
      <patternFill patternType="solid">
        <fgColor rgb="FFFF00FF"/>
        <bgColor indexed="64"/>
      </patternFill>
    </fill>
    <fill>
      <patternFill patternType="solid">
        <fgColor theme="6"/>
        <bgColor indexed="64"/>
      </patternFill>
    </fill>
    <fill>
      <patternFill patternType="solid">
        <fgColor theme="8" tint="0.39997558519241921"/>
        <bgColor indexed="64"/>
      </patternFill>
    </fill>
    <fill>
      <patternFill patternType="solid">
        <fgColor theme="5" tint="0.59999389629810485"/>
        <bgColor indexed="64"/>
      </patternFill>
    </fill>
  </fills>
  <borders count="6">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s>
  <cellStyleXfs count="12">
    <xf numFmtId="3" fontId="0" fillId="0" borderId="0"/>
    <xf numFmtId="0" fontId="11" fillId="0" borderId="0"/>
    <xf numFmtId="3" fontId="5" fillId="0" borderId="0"/>
    <xf numFmtId="0" fontId="4" fillId="0" borderId="0" applyNumberFormat="0" applyFont="0" applyFill="0" applyBorder="0" applyAlignment="0" applyProtection="0">
      <alignment horizontal="left"/>
    </xf>
    <xf numFmtId="15" fontId="4" fillId="0" borderId="0" applyFont="0" applyFill="0" applyBorder="0" applyAlignment="0" applyProtection="0"/>
    <xf numFmtId="4" fontId="4" fillId="0" borderId="0" applyFont="0" applyFill="0" applyBorder="0" applyAlignment="0" applyProtection="0"/>
    <xf numFmtId="0" fontId="6" fillId="0" borderId="1">
      <alignment horizontal="center"/>
    </xf>
    <xf numFmtId="3" fontId="4" fillId="0" borderId="0" applyFont="0" applyFill="0" applyBorder="0" applyAlignment="0" applyProtection="0"/>
    <xf numFmtId="0" fontId="4" fillId="2" borderId="0" applyNumberFormat="0" applyFont="0" applyBorder="0" applyAlignment="0" applyProtection="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347">
    <xf numFmtId="3" fontId="0" fillId="0" borderId="0" xfId="0"/>
    <xf numFmtId="3" fontId="2" fillId="0" borderId="0" xfId="2" applyFont="1" applyFill="1" applyAlignment="1" applyProtection="1">
      <alignment horizontal="left"/>
    </xf>
    <xf numFmtId="3" fontId="2" fillId="0" borderId="0" xfId="2" applyFont="1" applyFill="1" applyAlignment="1">
      <alignment horizontal="left"/>
    </xf>
    <xf numFmtId="3" fontId="2" fillId="0" borderId="0" xfId="2" applyFont="1" applyFill="1" applyAlignment="1">
      <alignment horizontal="center"/>
    </xf>
    <xf numFmtId="3" fontId="2" fillId="0" borderId="0" xfId="2" applyFont="1" applyFill="1"/>
    <xf numFmtId="164" fontId="2" fillId="0" borderId="0" xfId="2" applyNumberFormat="1" applyFont="1" applyFill="1" applyAlignment="1" applyProtection="1">
      <alignment horizontal="center"/>
    </xf>
    <xf numFmtId="3" fontId="1" fillId="0" borderId="0" xfId="2" applyFont="1" applyFill="1"/>
    <xf numFmtId="3" fontId="1" fillId="0" borderId="0" xfId="2" applyFont="1" applyFill="1" applyAlignment="1">
      <alignment horizontal="center"/>
    </xf>
    <xf numFmtId="4" fontId="1" fillId="0" borderId="0" xfId="2" applyNumberFormat="1" applyFont="1" applyFill="1" applyAlignment="1">
      <alignment horizontal="center"/>
    </xf>
    <xf numFmtId="4" fontId="2" fillId="0" borderId="0" xfId="2" applyNumberFormat="1" applyFont="1" applyFill="1" applyAlignment="1">
      <alignment horizontal="center"/>
    </xf>
    <xf numFmtId="3" fontId="3" fillId="0" borderId="0" xfId="0" applyFont="1" applyFill="1" applyAlignment="1" applyProtection="1">
      <alignment horizontal="left"/>
    </xf>
    <xf numFmtId="0" fontId="1" fillId="0" borderId="0" xfId="2" applyNumberFormat="1" applyFont="1" applyFill="1" applyAlignment="1">
      <alignment horizontal="right"/>
    </xf>
    <xf numFmtId="3" fontId="2" fillId="0" borderId="0" xfId="2" applyFont="1" applyFill="1" applyAlignment="1">
      <alignment horizontal="center" vertical="center"/>
    </xf>
    <xf numFmtId="3" fontId="9" fillId="0" borderId="0" xfId="2" applyFont="1" applyFill="1"/>
    <xf numFmtId="4" fontId="9" fillId="0" borderId="0" xfId="2" applyNumberFormat="1" applyFont="1" applyFill="1" applyAlignment="1">
      <alignment horizontal="center"/>
    </xf>
    <xf numFmtId="3" fontId="10" fillId="0" borderId="0" xfId="0" applyFont="1" applyAlignment="1">
      <alignment vertical="center"/>
    </xf>
    <xf numFmtId="4" fontId="9" fillId="4" borderId="0" xfId="2" applyNumberFormat="1" applyFont="1" applyFill="1" applyAlignment="1">
      <alignment horizontal="center"/>
    </xf>
    <xf numFmtId="3" fontId="3" fillId="4" borderId="0" xfId="0" applyFont="1" applyFill="1" applyAlignment="1" applyProtection="1">
      <alignment horizontal="left"/>
    </xf>
    <xf numFmtId="3" fontId="1" fillId="4" borderId="0" xfId="2" applyFont="1" applyFill="1"/>
    <xf numFmtId="4" fontId="1" fillId="5" borderId="0" xfId="2" applyNumberFormat="1" applyFont="1" applyFill="1" applyAlignment="1">
      <alignment horizontal="center"/>
    </xf>
    <xf numFmtId="4" fontId="9" fillId="5" borderId="0" xfId="2" applyNumberFormat="1" applyFont="1" applyFill="1" applyAlignment="1">
      <alignment horizontal="center"/>
    </xf>
    <xf numFmtId="14" fontId="0" fillId="0" borderId="0" xfId="0" applyNumberFormat="1"/>
    <xf numFmtId="49" fontId="12" fillId="3" borderId="4" xfId="1" applyNumberFormat="1" applyFont="1" applyFill="1" applyBorder="1"/>
    <xf numFmtId="0" fontId="11" fillId="0" borderId="0" xfId="1"/>
    <xf numFmtId="49" fontId="11" fillId="0" borderId="0" xfId="1" applyNumberFormat="1"/>
    <xf numFmtId="168" fontId="11" fillId="0" borderId="0" xfId="1" applyNumberFormat="1"/>
    <xf numFmtId="14" fontId="11" fillId="0" borderId="0" xfId="1" applyNumberFormat="1"/>
    <xf numFmtId="3" fontId="16" fillId="0" borderId="0" xfId="0" applyFont="1" applyFill="1" applyBorder="1" applyAlignment="1" applyProtection="1">
      <alignment horizontal="left"/>
    </xf>
    <xf numFmtId="165" fontId="17" fillId="0" borderId="0" xfId="0" applyNumberFormat="1" applyFont="1" applyFill="1" applyBorder="1"/>
    <xf numFmtId="3" fontId="17" fillId="0" borderId="0" xfId="0" applyFont="1" applyFill="1" applyBorder="1"/>
    <xf numFmtId="3" fontId="16" fillId="0" borderId="0" xfId="0" applyFont="1" applyFill="1" applyBorder="1" applyAlignment="1">
      <alignment horizontal="left"/>
    </xf>
    <xf numFmtId="165" fontId="16" fillId="0" borderId="0" xfId="0" applyNumberFormat="1" applyFont="1" applyFill="1" applyBorder="1" applyAlignment="1">
      <alignment horizontal="center" wrapText="1"/>
    </xf>
    <xf numFmtId="165" fontId="18" fillId="0" borderId="0" xfId="0" applyNumberFormat="1" applyFont="1" applyFill="1" applyBorder="1"/>
    <xf numFmtId="3" fontId="18" fillId="0" borderId="0" xfId="0" applyFont="1" applyFill="1" applyBorder="1"/>
    <xf numFmtId="3" fontId="19" fillId="0" borderId="0" xfId="0" applyFont="1" applyFill="1" applyBorder="1"/>
    <xf numFmtId="44" fontId="19" fillId="0" borderId="0" xfId="9" applyFont="1" applyFill="1" applyBorder="1"/>
    <xf numFmtId="3" fontId="20" fillId="0" borderId="0" xfId="0" applyFont="1" applyFill="1" applyBorder="1"/>
    <xf numFmtId="3" fontId="17" fillId="0" borderId="0" xfId="0" applyFont="1" applyFill="1" applyBorder="1" applyAlignment="1">
      <alignment horizontal="left"/>
    </xf>
    <xf numFmtId="8" fontId="19" fillId="0" borderId="0" xfId="0" applyNumberFormat="1" applyFont="1" applyFill="1" applyBorder="1"/>
    <xf numFmtId="8" fontId="19" fillId="0" borderId="0" xfId="9" applyNumberFormat="1" applyFont="1" applyFill="1" applyBorder="1"/>
    <xf numFmtId="8" fontId="19" fillId="0" borderId="0" xfId="0" applyNumberFormat="1" applyFont="1" applyFill="1" applyBorder="1" applyAlignment="1">
      <alignment horizontal="center"/>
    </xf>
    <xf numFmtId="44" fontId="19" fillId="0" borderId="0" xfId="0" applyNumberFormat="1" applyFont="1" applyFill="1" applyBorder="1" applyAlignment="1">
      <alignment horizontal="center"/>
    </xf>
    <xf numFmtId="3" fontId="20" fillId="0" borderId="0" xfId="0" applyFont="1" applyFill="1" applyBorder="1" applyAlignment="1">
      <alignment horizontal="center"/>
    </xf>
    <xf numFmtId="44" fontId="19" fillId="0" borderId="0" xfId="9" applyFont="1" applyFill="1" applyBorder="1" applyAlignment="1">
      <alignment horizontal="center"/>
    </xf>
    <xf numFmtId="3" fontId="22" fillId="0" borderId="0" xfId="0" applyFont="1" applyFill="1" applyBorder="1"/>
    <xf numFmtId="3" fontId="24" fillId="0" borderId="0" xfId="0" applyFont="1" applyFill="1" applyBorder="1" applyAlignment="1">
      <alignment horizontal="left"/>
    </xf>
    <xf numFmtId="3" fontId="17" fillId="0" borderId="0" xfId="0" applyFont="1" applyFill="1" applyBorder="1" applyAlignment="1" applyProtection="1">
      <alignment horizontal="left"/>
    </xf>
    <xf numFmtId="3" fontId="17" fillId="0" borderId="0" xfId="0" applyFont="1" applyFill="1" applyBorder="1" applyAlignment="1">
      <alignment horizontal="center"/>
    </xf>
    <xf numFmtId="164" fontId="17" fillId="0" borderId="0" xfId="0" applyNumberFormat="1" applyFont="1" applyFill="1" applyBorder="1" applyAlignment="1" applyProtection="1">
      <alignment horizontal="center"/>
    </xf>
    <xf numFmtId="165" fontId="17" fillId="0" borderId="0" xfId="0" applyNumberFormat="1" applyFont="1" applyFill="1" applyBorder="1" applyAlignment="1">
      <alignment horizontal="center"/>
    </xf>
    <xf numFmtId="165" fontId="17" fillId="0" borderId="0" xfId="0" applyNumberFormat="1" applyFont="1" applyFill="1" applyBorder="1" applyAlignment="1">
      <alignment horizontal="center" wrapText="1"/>
    </xf>
    <xf numFmtId="3" fontId="17" fillId="0" borderId="0" xfId="0" applyFont="1" applyFill="1" applyBorder="1" applyAlignment="1">
      <alignment horizontal="center" wrapText="1"/>
    </xf>
    <xf numFmtId="164" fontId="18" fillId="0" borderId="0" xfId="0" applyNumberFormat="1" applyFont="1" applyFill="1" applyBorder="1" applyAlignment="1" applyProtection="1">
      <alignment horizontal="center"/>
    </xf>
    <xf numFmtId="165" fontId="18" fillId="0" borderId="0" xfId="0" applyNumberFormat="1" applyFont="1" applyFill="1" applyBorder="1" applyAlignment="1" applyProtection="1">
      <alignment horizontal="center"/>
    </xf>
    <xf numFmtId="165" fontId="18" fillId="0" borderId="0" xfId="0" applyNumberFormat="1" applyFont="1" applyFill="1" applyBorder="1" applyAlignment="1">
      <alignment horizontal="center"/>
    </xf>
    <xf numFmtId="165" fontId="17" fillId="0" borderId="0" xfId="0" applyNumberFormat="1" applyFont="1" applyFill="1" applyBorder="1" applyAlignment="1" applyProtection="1">
      <alignment horizontal="center"/>
    </xf>
    <xf numFmtId="4" fontId="17" fillId="0" borderId="0" xfId="0" applyNumberFormat="1" applyFont="1" applyFill="1" applyBorder="1" applyAlignment="1" applyProtection="1">
      <alignment horizontal="center"/>
    </xf>
    <xf numFmtId="165" fontId="17" fillId="0" borderId="0" xfId="0" applyNumberFormat="1" applyFont="1" applyFill="1" applyBorder="1" applyAlignment="1"/>
    <xf numFmtId="3" fontId="17" fillId="0" borderId="0" xfId="0" applyFont="1" applyFill="1" applyBorder="1" applyAlignment="1"/>
    <xf numFmtId="165" fontId="17" fillId="0" borderId="0" xfId="0" applyNumberFormat="1" applyFont="1" applyFill="1" applyBorder="1" applyAlignment="1">
      <alignment wrapText="1"/>
    </xf>
    <xf numFmtId="3" fontId="25" fillId="0" borderId="0" xfId="2" applyFont="1" applyFill="1"/>
    <xf numFmtId="3" fontId="26" fillId="0" borderId="0" xfId="2" applyFont="1" applyFill="1"/>
    <xf numFmtId="3" fontId="22" fillId="0" borderId="0" xfId="0" applyFont="1" applyFill="1" applyAlignment="1">
      <alignment vertical="center"/>
    </xf>
    <xf numFmtId="3" fontId="19" fillId="0" borderId="0" xfId="0" applyFont="1" applyFill="1" applyAlignment="1">
      <alignment vertical="center"/>
    </xf>
    <xf numFmtId="3" fontId="19" fillId="0" borderId="0" xfId="0" applyFont="1" applyFill="1" applyAlignment="1" applyProtection="1">
      <alignment horizontal="left"/>
    </xf>
    <xf numFmtId="3" fontId="26" fillId="0" borderId="0" xfId="2" applyFont="1" applyFill="1" applyAlignment="1">
      <alignment horizontal="center"/>
    </xf>
    <xf numFmtId="0" fontId="26" fillId="0" borderId="0" xfId="2" applyNumberFormat="1" applyFont="1" applyFill="1" applyAlignment="1">
      <alignment horizontal="right"/>
    </xf>
    <xf numFmtId="3" fontId="16" fillId="0" borderId="0" xfId="2" applyFont="1" applyFill="1"/>
    <xf numFmtId="3" fontId="17" fillId="0" borderId="0" xfId="2" applyFont="1" applyFill="1" applyAlignment="1">
      <alignment horizontal="center"/>
    </xf>
    <xf numFmtId="3" fontId="17" fillId="0" borderId="0" xfId="2" applyFont="1" applyFill="1"/>
    <xf numFmtId="3" fontId="26" fillId="0" borderId="0" xfId="2" applyFont="1" applyFill="1" applyAlignment="1">
      <alignment horizontal="left"/>
    </xf>
    <xf numFmtId="164" fontId="26" fillId="0" borderId="0" xfId="2" applyNumberFormat="1" applyFont="1" applyFill="1" applyAlignment="1" applyProtection="1">
      <alignment horizontal="center"/>
    </xf>
    <xf numFmtId="3" fontId="26" fillId="0" borderId="0" xfId="2" applyFont="1" applyFill="1" applyAlignment="1" applyProtection="1">
      <alignment horizontal="left"/>
    </xf>
    <xf numFmtId="4" fontId="17" fillId="0" borderId="0" xfId="2" applyNumberFormat="1" applyFont="1" applyFill="1" applyAlignment="1">
      <alignment horizontal="center"/>
    </xf>
    <xf numFmtId="2" fontId="17" fillId="0" borderId="0" xfId="2" applyNumberFormat="1" applyFont="1" applyFill="1" applyAlignment="1">
      <alignment horizontal="center"/>
    </xf>
    <xf numFmtId="3" fontId="23" fillId="0" borderId="0" xfId="2" applyFont="1" applyFill="1" applyAlignment="1" applyProtection="1">
      <alignment horizontal="left"/>
    </xf>
    <xf numFmtId="8" fontId="19" fillId="0" borderId="0" xfId="9" applyNumberFormat="1" applyFont="1" applyFill="1" applyBorder="1" applyAlignment="1">
      <alignment horizontal="center"/>
    </xf>
    <xf numFmtId="3" fontId="28" fillId="0" borderId="0" xfId="0" applyFont="1" applyFill="1" applyAlignment="1">
      <alignment horizontal="center"/>
    </xf>
    <xf numFmtId="3" fontId="22" fillId="0" borderId="0" xfId="0" applyFont="1" applyFill="1" applyAlignment="1">
      <alignment horizontal="left"/>
    </xf>
    <xf numFmtId="3" fontId="22" fillId="0" borderId="0" xfId="0" applyFont="1" applyFill="1"/>
    <xf numFmtId="3" fontId="22" fillId="0" borderId="0" xfId="0" applyFont="1" applyFill="1" applyAlignment="1" applyProtection="1">
      <alignment horizontal="left"/>
    </xf>
    <xf numFmtId="3" fontId="29" fillId="0" borderId="0" xfId="0" applyFont="1" applyFill="1" applyAlignment="1">
      <alignment horizontal="center"/>
    </xf>
    <xf numFmtId="164" fontId="25" fillId="0" borderId="0" xfId="0" applyNumberFormat="1" applyFont="1" applyFill="1" applyAlignment="1" applyProtection="1">
      <alignment horizontal="center"/>
    </xf>
    <xf numFmtId="3" fontId="22" fillId="0" borderId="0" xfId="0" applyFont="1" applyFill="1" applyAlignment="1">
      <alignment horizontal="center" wrapText="1"/>
    </xf>
    <xf numFmtId="3" fontId="22" fillId="0" borderId="0" xfId="0" applyFont="1" applyFill="1" applyBorder="1" applyAlignment="1">
      <alignment horizontal="left"/>
    </xf>
    <xf numFmtId="0" fontId="19" fillId="0" borderId="0" xfId="0" applyNumberFormat="1" applyFont="1" applyFill="1" applyAlignment="1">
      <alignment horizontal="center"/>
    </xf>
    <xf numFmtId="3" fontId="19" fillId="0" borderId="2" xfId="0" applyFont="1" applyFill="1" applyBorder="1" applyAlignment="1">
      <alignment horizontal="center"/>
    </xf>
    <xf numFmtId="3" fontId="22" fillId="0" borderId="2" xfId="0" applyFont="1" applyFill="1" applyBorder="1" applyAlignment="1">
      <alignment horizontal="center"/>
    </xf>
    <xf numFmtId="3" fontId="19" fillId="0" borderId="2" xfId="0" applyFont="1" applyFill="1" applyBorder="1"/>
    <xf numFmtId="3" fontId="28" fillId="0" borderId="2" xfId="0" applyFont="1" applyFill="1" applyBorder="1" applyAlignment="1">
      <alignment horizontal="center"/>
    </xf>
    <xf numFmtId="3" fontId="22" fillId="0" borderId="2" xfId="0" applyFont="1" applyFill="1" applyBorder="1" applyAlignment="1" applyProtection="1">
      <alignment horizontal="left"/>
    </xf>
    <xf numFmtId="3" fontId="22" fillId="0" borderId="2" xfId="0" applyFont="1" applyFill="1" applyBorder="1"/>
    <xf numFmtId="164" fontId="22" fillId="0" borderId="2" xfId="0" applyNumberFormat="1" applyFont="1" applyFill="1" applyBorder="1" applyAlignment="1" applyProtection="1">
      <alignment horizontal="center"/>
    </xf>
    <xf numFmtId="165" fontId="22" fillId="0" borderId="2" xfId="0" applyNumberFormat="1" applyFont="1" applyFill="1" applyBorder="1" applyAlignment="1">
      <alignment horizontal="center"/>
    </xf>
    <xf numFmtId="165" fontId="19" fillId="0" borderId="2" xfId="0" applyNumberFormat="1" applyFont="1" applyFill="1" applyBorder="1"/>
    <xf numFmtId="3" fontId="22" fillId="0" borderId="0" xfId="0" applyFont="1" applyFill="1" applyBorder="1" applyAlignment="1">
      <alignment horizontal="center"/>
    </xf>
    <xf numFmtId="3" fontId="28" fillId="0" borderId="0" xfId="0" applyFont="1" applyFill="1" applyBorder="1" applyAlignment="1">
      <alignment horizontal="center"/>
    </xf>
    <xf numFmtId="164" fontId="22" fillId="0" borderId="0" xfId="0" applyNumberFormat="1" applyFont="1" applyFill="1" applyBorder="1" applyAlignment="1" applyProtection="1">
      <alignment horizontal="center"/>
    </xf>
    <xf numFmtId="165" fontId="22" fillId="0" borderId="0" xfId="0" applyNumberFormat="1" applyFont="1" applyFill="1" applyBorder="1" applyAlignment="1">
      <alignment horizontal="center"/>
    </xf>
    <xf numFmtId="165" fontId="19" fillId="0" borderId="0" xfId="0" applyNumberFormat="1" applyFont="1" applyFill="1" applyBorder="1"/>
    <xf numFmtId="165" fontId="22" fillId="0" borderId="0" xfId="0" applyNumberFormat="1" applyFont="1" applyFill="1" applyAlignment="1" applyProtection="1">
      <alignment horizontal="center"/>
    </xf>
    <xf numFmtId="3" fontId="28" fillId="0" borderId="0" xfId="0" applyFont="1" applyFill="1" applyBorder="1" applyAlignment="1" applyProtection="1">
      <alignment horizontal="center"/>
    </xf>
    <xf numFmtId="3" fontId="22" fillId="0" borderId="0" xfId="0" applyFont="1" applyFill="1" applyBorder="1" applyAlignment="1" applyProtection="1">
      <alignment horizontal="center"/>
    </xf>
    <xf numFmtId="165" fontId="22" fillId="0" borderId="0" xfId="0" applyNumberFormat="1" applyFont="1" applyFill="1" applyBorder="1" applyAlignment="1" applyProtection="1">
      <alignment horizontal="center"/>
    </xf>
    <xf numFmtId="166" fontId="19" fillId="0" borderId="0" xfId="0" applyNumberFormat="1" applyFont="1" applyFill="1" applyBorder="1"/>
    <xf numFmtId="3" fontId="19" fillId="0" borderId="0" xfId="0" applyFont="1" applyFill="1" applyBorder="1" applyAlignment="1" applyProtection="1">
      <alignment horizontal="left"/>
    </xf>
    <xf numFmtId="165" fontId="22" fillId="0" borderId="2" xfId="0" applyNumberFormat="1" applyFont="1" applyFill="1" applyBorder="1" applyAlignment="1" applyProtection="1">
      <alignment horizontal="center"/>
    </xf>
    <xf numFmtId="166" fontId="19" fillId="0" borderId="2" xfId="0" applyNumberFormat="1" applyFont="1" applyFill="1" applyBorder="1"/>
    <xf numFmtId="4" fontId="22" fillId="0" borderId="0" xfId="0" applyNumberFormat="1" applyFont="1" applyFill="1" applyAlignment="1">
      <alignment horizontal="center"/>
    </xf>
    <xf numFmtId="3" fontId="29" fillId="0" borderId="0" xfId="0" applyFont="1" applyFill="1" applyBorder="1" applyAlignment="1">
      <alignment horizontal="center"/>
    </xf>
    <xf numFmtId="3" fontId="22" fillId="0" borderId="0" xfId="0" applyFont="1" applyFill="1" applyBorder="1" applyProtection="1"/>
    <xf numFmtId="3" fontId="22" fillId="0" borderId="2" xfId="0" applyFont="1" applyFill="1" applyBorder="1" applyAlignment="1" applyProtection="1">
      <alignment horizontal="center"/>
    </xf>
    <xf numFmtId="3" fontId="28" fillId="0" borderId="2" xfId="0" applyFont="1" applyFill="1" applyBorder="1" applyAlignment="1" applyProtection="1">
      <alignment horizontal="center"/>
    </xf>
    <xf numFmtId="3" fontId="22" fillId="0" borderId="2" xfId="0" applyFont="1" applyFill="1" applyBorder="1" applyProtection="1"/>
    <xf numFmtId="3" fontId="29" fillId="0" borderId="2" xfId="0" applyFont="1" applyFill="1" applyBorder="1" applyAlignment="1">
      <alignment horizontal="center"/>
    </xf>
    <xf numFmtId="3" fontId="19" fillId="0" borderId="0" xfId="0" applyFont="1" applyFill="1" applyBorder="1" applyAlignment="1">
      <alignment horizontal="left"/>
    </xf>
    <xf numFmtId="0" fontId="19" fillId="0" borderId="0" xfId="0" applyNumberFormat="1" applyFont="1" applyFill="1" applyBorder="1" applyAlignment="1">
      <alignment horizontal="center"/>
    </xf>
    <xf numFmtId="0" fontId="19" fillId="0" borderId="2" xfId="0" applyNumberFormat="1" applyFont="1" applyFill="1" applyBorder="1" applyAlignment="1">
      <alignment horizontal="center"/>
    </xf>
    <xf numFmtId="3" fontId="29" fillId="0" borderId="0" xfId="0" applyFont="1" applyFill="1" applyBorder="1"/>
    <xf numFmtId="165" fontId="26" fillId="0" borderId="0" xfId="2" applyNumberFormat="1" applyFont="1" applyFill="1" applyAlignment="1">
      <alignment horizontal="center"/>
    </xf>
    <xf numFmtId="3" fontId="31" fillId="0" borderId="0" xfId="2" applyFont="1" applyFill="1" applyAlignment="1">
      <alignment horizontal="center"/>
    </xf>
    <xf numFmtId="3" fontId="33" fillId="0" borderId="0" xfId="0" applyFont="1" applyFill="1" applyAlignment="1">
      <alignment vertical="center"/>
    </xf>
    <xf numFmtId="3" fontId="32" fillId="0" borderId="0" xfId="2" applyFont="1" applyFill="1"/>
    <xf numFmtId="3" fontId="32" fillId="0" borderId="0" xfId="2" applyFont="1" applyFill="1" applyAlignment="1" applyProtection="1">
      <alignment horizontal="center"/>
    </xf>
    <xf numFmtId="4" fontId="16" fillId="0" borderId="0" xfId="0" applyNumberFormat="1" applyFont="1" applyFill="1" applyBorder="1" applyAlignment="1" applyProtection="1">
      <alignment horizontal="center"/>
    </xf>
    <xf numFmtId="3" fontId="21" fillId="0" borderId="0" xfId="0" applyFont="1" applyFill="1" applyBorder="1" applyAlignment="1"/>
    <xf numFmtId="8" fontId="22" fillId="0" borderId="0" xfId="0" applyNumberFormat="1" applyFont="1" applyFill="1" applyBorder="1" applyAlignment="1">
      <alignment horizontal="center"/>
    </xf>
    <xf numFmtId="3" fontId="16" fillId="6" borderId="0" xfId="0" applyFont="1" applyFill="1" applyBorder="1" applyAlignment="1">
      <alignment horizontal="left"/>
    </xf>
    <xf numFmtId="3" fontId="17" fillId="6" borderId="0" xfId="0" applyFont="1" applyFill="1" applyBorder="1" applyAlignment="1" applyProtection="1">
      <alignment horizontal="left"/>
    </xf>
    <xf numFmtId="3" fontId="17" fillId="6" borderId="0" xfId="0" applyFont="1" applyFill="1" applyBorder="1"/>
    <xf numFmtId="3" fontId="17" fillId="6" borderId="0" xfId="0" applyFont="1" applyFill="1" applyBorder="1" applyAlignment="1">
      <alignment horizontal="center" wrapText="1"/>
    </xf>
    <xf numFmtId="3" fontId="17" fillId="6" borderId="0" xfId="0" applyFont="1" applyFill="1" applyBorder="1" applyAlignment="1">
      <alignment horizontal="center"/>
    </xf>
    <xf numFmtId="3" fontId="16" fillId="6" borderId="0" xfId="0" applyFont="1" applyFill="1" applyBorder="1" applyAlignment="1" applyProtection="1">
      <alignment horizontal="left"/>
    </xf>
    <xf numFmtId="164" fontId="17" fillId="6" borderId="0" xfId="0" applyNumberFormat="1" applyFont="1" applyFill="1" applyBorder="1" applyAlignment="1" applyProtection="1">
      <alignment horizontal="center"/>
    </xf>
    <xf numFmtId="8" fontId="22" fillId="6" borderId="0" xfId="0" applyNumberFormat="1" applyFont="1" applyFill="1" applyBorder="1" applyAlignment="1">
      <alignment horizontal="center"/>
    </xf>
    <xf numFmtId="44" fontId="19" fillId="6" borderId="0" xfId="9" applyFont="1" applyFill="1" applyBorder="1"/>
    <xf numFmtId="3" fontId="17" fillId="7" borderId="0" xfId="0" applyFont="1" applyFill="1" applyBorder="1"/>
    <xf numFmtId="3" fontId="21" fillId="6" borderId="0" xfId="0" applyFont="1" applyFill="1" applyBorder="1" applyAlignment="1"/>
    <xf numFmtId="3" fontId="19" fillId="6" borderId="0" xfId="0" applyFont="1" applyFill="1" applyBorder="1"/>
    <xf numFmtId="2" fontId="39" fillId="0" borderId="0" xfId="2" applyNumberFormat="1" applyFont="1" applyFill="1" applyAlignment="1">
      <alignment horizontal="center"/>
    </xf>
    <xf numFmtId="3" fontId="30" fillId="0" borderId="0" xfId="0" applyFont="1" applyFill="1" applyAlignment="1">
      <alignment horizontal="center"/>
    </xf>
    <xf numFmtId="3" fontId="30" fillId="0" borderId="0" xfId="0" applyFont="1" applyFill="1" applyAlignment="1">
      <alignment horizontal="left"/>
    </xf>
    <xf numFmtId="3" fontId="30" fillId="0" borderId="0" xfId="0" applyFont="1" applyFill="1"/>
    <xf numFmtId="3" fontId="22" fillId="0" borderId="0" xfId="2" applyFont="1" applyFill="1"/>
    <xf numFmtId="2" fontId="16" fillId="0" borderId="0" xfId="2" applyNumberFormat="1" applyFont="1" applyFill="1" applyAlignment="1">
      <alignment horizontal="center"/>
    </xf>
    <xf numFmtId="3" fontId="15" fillId="0" borderId="0" xfId="0" applyFont="1" applyFill="1" applyAlignment="1">
      <alignment horizontal="center"/>
    </xf>
    <xf numFmtId="3" fontId="22" fillId="0" borderId="0" xfId="0" applyFont="1" applyFill="1" applyAlignment="1">
      <alignment horizontal="left" wrapText="1"/>
    </xf>
    <xf numFmtId="3" fontId="22" fillId="0" borderId="0" xfId="0" applyFont="1" applyFill="1" applyAlignment="1" applyProtection="1">
      <alignment horizontal="left" wrapText="1"/>
    </xf>
    <xf numFmtId="3" fontId="28" fillId="0" borderId="0" xfId="0" applyFont="1" applyFill="1" applyAlignment="1" applyProtection="1">
      <alignment horizontal="center" wrapText="1"/>
    </xf>
    <xf numFmtId="3" fontId="19" fillId="0" borderId="0" xfId="0" applyFont="1" applyFill="1" applyBorder="1"/>
    <xf numFmtId="166" fontId="19" fillId="0" borderId="0" xfId="0" applyNumberFormat="1" applyFont="1" applyFill="1"/>
    <xf numFmtId="3" fontId="19" fillId="0" borderId="0" xfId="0" applyFont="1" applyFill="1" applyAlignment="1">
      <alignment horizontal="left"/>
    </xf>
    <xf numFmtId="3" fontId="28" fillId="0" borderId="3" xfId="0" applyFont="1" applyFill="1" applyBorder="1" applyAlignment="1" applyProtection="1">
      <alignment horizontal="center"/>
    </xf>
    <xf numFmtId="165" fontId="19" fillId="0" borderId="0" xfId="0" applyNumberFormat="1" applyFont="1" applyFill="1"/>
    <xf numFmtId="3" fontId="19" fillId="0" borderId="0" xfId="0" applyFont="1" applyFill="1"/>
    <xf numFmtId="3" fontId="19" fillId="0" borderId="0" xfId="0" applyFont="1" applyFill="1" applyAlignment="1">
      <alignment horizontal="center"/>
    </xf>
    <xf numFmtId="164" fontId="22" fillId="0" borderId="0" xfId="0" applyNumberFormat="1" applyFont="1" applyFill="1" applyAlignment="1" applyProtection="1">
      <alignment horizontal="center"/>
    </xf>
    <xf numFmtId="3" fontId="22" fillId="0" borderId="0" xfId="0" applyFont="1" applyFill="1" applyBorder="1" applyAlignment="1" applyProtection="1">
      <alignment horizontal="left"/>
    </xf>
    <xf numFmtId="3" fontId="22" fillId="0" borderId="0" xfId="0" applyFont="1" applyFill="1" applyAlignment="1">
      <alignment horizontal="center"/>
    </xf>
    <xf numFmtId="165" fontId="22" fillId="0" borderId="0" xfId="0" applyNumberFormat="1" applyFont="1" applyFill="1" applyAlignment="1">
      <alignment horizontal="center"/>
    </xf>
    <xf numFmtId="3" fontId="22" fillId="0" borderId="0" xfId="0" applyFont="1" applyFill="1" applyAlignment="1" applyProtection="1">
      <alignment horizontal="center"/>
    </xf>
    <xf numFmtId="3" fontId="28" fillId="0" borderId="0" xfId="0" applyFont="1" applyFill="1" applyAlignment="1" applyProtection="1">
      <alignment horizontal="center"/>
    </xf>
    <xf numFmtId="3" fontId="22" fillId="0" borderId="0" xfId="0" applyFont="1" applyFill="1" applyProtection="1"/>
    <xf numFmtId="167" fontId="22" fillId="0" borderId="0" xfId="0" applyNumberFormat="1" applyFont="1" applyFill="1" applyAlignment="1">
      <alignment horizontal="center"/>
    </xf>
    <xf numFmtId="3" fontId="19" fillId="0" borderId="0" xfId="0" applyFont="1" applyFill="1" applyBorder="1" applyAlignment="1">
      <alignment horizontal="center"/>
    </xf>
    <xf numFmtId="3" fontId="22" fillId="0" borderId="3" xfId="0" applyFont="1" applyFill="1" applyBorder="1" applyAlignment="1" applyProtection="1">
      <alignment horizontal="center"/>
    </xf>
    <xf numFmtId="3" fontId="22" fillId="0" borderId="3" xfId="0" applyFont="1" applyFill="1" applyBorder="1" applyAlignment="1">
      <alignment horizontal="center"/>
    </xf>
    <xf numFmtId="3" fontId="30" fillId="0" borderId="3" xfId="0" applyFont="1" applyFill="1" applyBorder="1" applyAlignment="1" applyProtection="1">
      <alignment horizontal="left"/>
    </xf>
    <xf numFmtId="3" fontId="22" fillId="0" borderId="3" xfId="0" applyFont="1" applyFill="1" applyBorder="1" applyProtection="1"/>
    <xf numFmtId="164" fontId="22" fillId="0" borderId="3" xfId="0" applyNumberFormat="1" applyFont="1" applyFill="1" applyBorder="1" applyAlignment="1" applyProtection="1">
      <alignment horizontal="center"/>
    </xf>
    <xf numFmtId="165" fontId="22" fillId="0" borderId="3" xfId="0" applyNumberFormat="1" applyFont="1" applyFill="1" applyBorder="1" applyAlignment="1">
      <alignment horizontal="center"/>
    </xf>
    <xf numFmtId="3" fontId="19" fillId="0" borderId="3" xfId="0" applyFont="1" applyFill="1" applyBorder="1"/>
    <xf numFmtId="167" fontId="22" fillId="0" borderId="0" xfId="0" applyNumberFormat="1" applyFont="1" applyFill="1" applyBorder="1" applyAlignment="1">
      <alignment horizontal="center"/>
    </xf>
    <xf numFmtId="3" fontId="23" fillId="0" borderId="0" xfId="2" applyFont="1" applyFill="1" applyAlignment="1" applyProtection="1">
      <alignment horizontal="center"/>
    </xf>
    <xf numFmtId="167" fontId="20" fillId="0" borderId="0" xfId="2" applyNumberFormat="1" applyFont="1" applyFill="1" applyAlignment="1" applyProtection="1">
      <alignment horizontal="center"/>
    </xf>
    <xf numFmtId="3" fontId="23" fillId="0" borderId="0" xfId="2" applyFont="1" applyFill="1" applyAlignment="1" applyProtection="1">
      <alignment horizontal="center" wrapText="1"/>
    </xf>
    <xf numFmtId="9" fontId="41" fillId="0" borderId="0" xfId="10" applyFont="1" applyFill="1" applyAlignment="1" applyProtection="1">
      <alignment horizontal="center"/>
    </xf>
    <xf numFmtId="3" fontId="19" fillId="0" borderId="0" xfId="0" applyFont="1"/>
    <xf numFmtId="3" fontId="19" fillId="0" borderId="0" xfId="0" applyFont="1" applyAlignment="1">
      <alignment wrapText="1"/>
    </xf>
    <xf numFmtId="3" fontId="19" fillId="0" borderId="0" xfId="0" applyFont="1" applyAlignment="1">
      <alignment horizontal="center"/>
    </xf>
    <xf numFmtId="9" fontId="19" fillId="0" borderId="0" xfId="10" applyFont="1" applyAlignment="1">
      <alignment horizontal="center"/>
    </xf>
    <xf numFmtId="167" fontId="19" fillId="0" borderId="0" xfId="0" applyNumberFormat="1" applyFont="1" applyAlignment="1">
      <alignment horizontal="center"/>
    </xf>
    <xf numFmtId="3" fontId="22" fillId="0" borderId="2" xfId="0" applyFont="1" applyBorder="1" applyAlignment="1">
      <alignment wrapText="1"/>
    </xf>
    <xf numFmtId="3" fontId="22" fillId="0" borderId="2" xfId="0" applyFont="1" applyBorder="1" applyAlignment="1">
      <alignment horizontal="center" wrapText="1"/>
    </xf>
    <xf numFmtId="3" fontId="22" fillId="0" borderId="2" xfId="0" applyFont="1" applyBorder="1"/>
    <xf numFmtId="3" fontId="22" fillId="0" borderId="0" xfId="0" applyFont="1" applyAlignment="1">
      <alignment horizontal="left" wrapText="1"/>
    </xf>
    <xf numFmtId="3" fontId="22" fillId="8" borderId="2" xfId="0" applyFont="1" applyFill="1" applyBorder="1" applyAlignment="1">
      <alignment horizontal="center"/>
    </xf>
    <xf numFmtId="3" fontId="22" fillId="8" borderId="2" xfId="0" applyFont="1" applyFill="1" applyBorder="1" applyAlignment="1">
      <alignment horizontal="center" wrapText="1"/>
    </xf>
    <xf numFmtId="167" fontId="19" fillId="8" borderId="0" xfId="0" applyNumberFormat="1" applyFont="1" applyFill="1" applyAlignment="1">
      <alignment horizontal="center"/>
    </xf>
    <xf numFmtId="3" fontId="28" fillId="0" borderId="0" xfId="0" applyFont="1" applyFill="1" applyBorder="1" applyAlignment="1" applyProtection="1">
      <alignment horizontal="center" wrapText="1"/>
    </xf>
    <xf numFmtId="4" fontId="19" fillId="0" borderId="0" xfId="0" applyNumberFormat="1" applyFont="1" applyFill="1" applyBorder="1"/>
    <xf numFmtId="4" fontId="19" fillId="0" borderId="0" xfId="0" applyNumberFormat="1" applyFont="1"/>
    <xf numFmtId="167" fontId="19" fillId="0" borderId="0" xfId="0" applyNumberFormat="1" applyFont="1" applyFill="1" applyBorder="1"/>
    <xf numFmtId="3" fontId="22" fillId="5" borderId="0" xfId="2" applyFont="1" applyFill="1"/>
    <xf numFmtId="3" fontId="19" fillId="10" borderId="0" xfId="0" applyFont="1" applyFill="1"/>
    <xf numFmtId="167" fontId="28" fillId="0" borderId="0" xfId="0" applyNumberFormat="1" applyFont="1" applyFill="1" applyBorder="1" applyAlignment="1" applyProtection="1">
      <alignment horizontal="center" wrapText="1"/>
    </xf>
    <xf numFmtId="3" fontId="19" fillId="8" borderId="0" xfId="0" applyFont="1" applyFill="1"/>
    <xf numFmtId="167" fontId="19" fillId="0" borderId="0" xfId="0" applyNumberFormat="1" applyFont="1" applyFill="1" applyBorder="1" applyAlignment="1">
      <alignment horizontal="right"/>
    </xf>
    <xf numFmtId="167" fontId="19" fillId="9" borderId="0" xfId="0" applyNumberFormat="1" applyFont="1" applyFill="1" applyBorder="1" applyAlignment="1">
      <alignment horizontal="right"/>
    </xf>
    <xf numFmtId="167" fontId="28" fillId="0" borderId="0" xfId="0" applyNumberFormat="1" applyFont="1" applyFill="1" applyBorder="1" applyAlignment="1" applyProtection="1">
      <alignment horizontal="right" wrapText="1"/>
    </xf>
    <xf numFmtId="167" fontId="19" fillId="9" borderId="0" xfId="0" applyNumberFormat="1" applyFont="1" applyFill="1" applyBorder="1"/>
    <xf numFmtId="170" fontId="19" fillId="0" borderId="0" xfId="0" applyNumberFormat="1" applyFont="1" applyFill="1" applyBorder="1"/>
    <xf numFmtId="167" fontId="19" fillId="0" borderId="2" xfId="0" applyNumberFormat="1" applyFont="1" applyFill="1" applyBorder="1"/>
    <xf numFmtId="167" fontId="19" fillId="9" borderId="2" xfId="0" applyNumberFormat="1" applyFont="1" applyFill="1" applyBorder="1"/>
    <xf numFmtId="164" fontId="19" fillId="0" borderId="0" xfId="0" applyNumberFormat="1" applyFont="1" applyFill="1" applyAlignment="1" applyProtection="1">
      <alignment horizontal="center"/>
    </xf>
    <xf numFmtId="164" fontId="19" fillId="0" borderId="0" xfId="0" applyNumberFormat="1" applyFont="1" applyFill="1" applyBorder="1" applyAlignment="1" applyProtection="1">
      <alignment horizontal="center"/>
    </xf>
    <xf numFmtId="3" fontId="22" fillId="0" borderId="0" xfId="0" applyFont="1" applyFill="1" applyAlignment="1" applyProtection="1">
      <alignment horizontal="center" wrapText="1"/>
    </xf>
    <xf numFmtId="3" fontId="19" fillId="0" borderId="2" xfId="0" applyFont="1" applyFill="1" applyBorder="1" applyAlignment="1" applyProtection="1">
      <alignment horizontal="left"/>
    </xf>
    <xf numFmtId="164" fontId="19" fillId="0" borderId="2" xfId="0" applyNumberFormat="1" applyFont="1" applyFill="1" applyBorder="1" applyAlignment="1" applyProtection="1">
      <alignment horizontal="center"/>
    </xf>
    <xf numFmtId="3" fontId="19" fillId="0" borderId="0" xfId="2" applyFont="1" applyFill="1" applyAlignment="1">
      <alignment horizontal="left"/>
    </xf>
    <xf numFmtId="3" fontId="19" fillId="0" borderId="0" xfId="2" applyFont="1" applyFill="1" applyAlignment="1">
      <alignment horizontal="center"/>
    </xf>
    <xf numFmtId="3" fontId="19" fillId="0" borderId="0" xfId="2" applyFont="1" applyFill="1"/>
    <xf numFmtId="164" fontId="19" fillId="0" borderId="0" xfId="2" applyNumberFormat="1" applyFont="1" applyFill="1" applyAlignment="1" applyProtection="1">
      <alignment horizontal="center"/>
    </xf>
    <xf numFmtId="165" fontId="19" fillId="0" borderId="0" xfId="2" applyNumberFormat="1" applyFont="1" applyFill="1" applyAlignment="1">
      <alignment horizontal="center"/>
    </xf>
    <xf numFmtId="3" fontId="33" fillId="0" borderId="0" xfId="2" applyFont="1" applyFill="1" applyAlignment="1" applyProtection="1">
      <alignment horizontal="center"/>
    </xf>
    <xf numFmtId="3" fontId="22" fillId="0" borderId="0" xfId="2" applyFont="1" applyFill="1" applyAlignment="1" applyProtection="1">
      <alignment horizontal="left"/>
    </xf>
    <xf numFmtId="4" fontId="19" fillId="0" borderId="0" xfId="2" applyNumberFormat="1" applyFont="1" applyFill="1" applyAlignment="1">
      <alignment horizontal="center"/>
    </xf>
    <xf numFmtId="0" fontId="19" fillId="0" borderId="0" xfId="2" applyNumberFormat="1" applyFont="1" applyFill="1" applyAlignment="1">
      <alignment horizontal="right"/>
    </xf>
    <xf numFmtId="3" fontId="33" fillId="0" borderId="0" xfId="2" applyFont="1" applyFill="1"/>
    <xf numFmtId="4" fontId="19" fillId="0" borderId="0" xfId="2" applyNumberFormat="1" applyFont="1" applyFill="1"/>
    <xf numFmtId="167" fontId="19" fillId="0" borderId="0" xfId="2" applyNumberFormat="1" applyFont="1" applyFill="1" applyAlignment="1">
      <alignment horizontal="center"/>
    </xf>
    <xf numFmtId="167" fontId="19" fillId="0" borderId="0" xfId="2" applyNumberFormat="1" applyFont="1" applyFill="1"/>
    <xf numFmtId="3" fontId="17" fillId="0" borderId="0" xfId="0" applyFont="1"/>
    <xf numFmtId="167" fontId="19" fillId="11" borderId="0" xfId="0" applyNumberFormat="1" applyFont="1" applyFill="1" applyBorder="1" applyAlignment="1">
      <alignment horizontal="right"/>
    </xf>
    <xf numFmtId="3" fontId="19" fillId="0" borderId="0" xfId="0" applyFont="1" applyFill="1" applyProtection="1"/>
    <xf numFmtId="167" fontId="24" fillId="0" borderId="0" xfId="0" applyNumberFormat="1" applyFont="1" applyFill="1" applyAlignment="1">
      <alignment horizontal="center"/>
    </xf>
    <xf numFmtId="167" fontId="19" fillId="0" borderId="0" xfId="0" applyNumberFormat="1" applyFont="1" applyFill="1" applyAlignment="1">
      <alignment horizontal="center"/>
    </xf>
    <xf numFmtId="167" fontId="19" fillId="0" borderId="0" xfId="0" applyNumberFormat="1" applyFont="1" applyFill="1"/>
    <xf numFmtId="167" fontId="44" fillId="0" borderId="0" xfId="0" applyNumberFormat="1" applyFont="1" applyFill="1" applyAlignment="1">
      <alignment horizontal="center"/>
    </xf>
    <xf numFmtId="167" fontId="22" fillId="0" borderId="0" xfId="0" applyNumberFormat="1" applyFont="1" applyFill="1"/>
    <xf numFmtId="167" fontId="19" fillId="0" borderId="0" xfId="0" applyNumberFormat="1" applyFont="1" applyFill="1" applyAlignment="1">
      <alignment horizontal="center" wrapText="1"/>
    </xf>
    <xf numFmtId="167" fontId="19" fillId="0" borderId="2" xfId="0" applyNumberFormat="1" applyFont="1" applyFill="1" applyBorder="1" applyAlignment="1">
      <alignment horizontal="center"/>
    </xf>
    <xf numFmtId="167" fontId="19" fillId="0" borderId="0" xfId="0" applyNumberFormat="1" applyFont="1" applyFill="1" applyBorder="1" applyAlignment="1">
      <alignment horizontal="center"/>
    </xf>
    <xf numFmtId="167" fontId="19" fillId="0" borderId="0" xfId="0" applyNumberFormat="1" applyFont="1" applyFill="1" applyAlignment="1" applyProtection="1">
      <alignment horizontal="center"/>
    </xf>
    <xf numFmtId="167" fontId="19" fillId="0" borderId="0" xfId="0" applyNumberFormat="1" applyFont="1" applyFill="1" applyBorder="1" applyAlignment="1" applyProtection="1">
      <alignment horizontal="center"/>
    </xf>
    <xf numFmtId="167" fontId="19" fillId="0" borderId="3" xfId="0" applyNumberFormat="1" applyFont="1" applyFill="1" applyBorder="1" applyAlignment="1">
      <alignment horizontal="center"/>
    </xf>
    <xf numFmtId="167" fontId="19" fillId="9" borderId="0" xfId="0" applyNumberFormat="1" applyFont="1" applyFill="1" applyBorder="1" applyAlignment="1">
      <alignment horizontal="center"/>
    </xf>
    <xf numFmtId="167" fontId="19" fillId="0" borderId="0" xfId="0" applyNumberFormat="1" applyFont="1" applyFill="1" applyAlignment="1" applyProtection="1">
      <alignment horizontal="left"/>
    </xf>
    <xf numFmtId="167" fontId="19" fillId="0" borderId="0" xfId="0" applyNumberFormat="1" applyFont="1" applyFill="1" applyAlignment="1">
      <alignment horizontal="left"/>
    </xf>
    <xf numFmtId="167" fontId="19" fillId="0" borderId="2" xfId="0" applyNumberFormat="1" applyFont="1" applyFill="1" applyBorder="1" applyAlignment="1" applyProtection="1">
      <alignment horizontal="center"/>
    </xf>
    <xf numFmtId="167" fontId="19" fillId="0" borderId="0" xfId="0" applyNumberFormat="1" applyFont="1" applyFill="1" applyBorder="1" applyAlignment="1" applyProtection="1">
      <alignment horizontal="left"/>
    </xf>
    <xf numFmtId="3" fontId="19" fillId="0" borderId="3" xfId="0" applyFont="1" applyFill="1" applyBorder="1" applyAlignment="1">
      <alignment horizontal="center"/>
    </xf>
    <xf numFmtId="3" fontId="19" fillId="0" borderId="0" xfId="2" applyFont="1" applyFill="1" applyAlignment="1" applyProtection="1">
      <alignment horizontal="left"/>
    </xf>
    <xf numFmtId="3" fontId="22" fillId="0" borderId="3" xfId="0" applyFont="1" applyFill="1" applyBorder="1" applyAlignment="1" applyProtection="1">
      <alignment horizontal="left"/>
    </xf>
    <xf numFmtId="167" fontId="19" fillId="0" borderId="0" xfId="0" applyNumberFormat="1" applyFont="1"/>
    <xf numFmtId="3" fontId="19" fillId="0" borderId="0" xfId="0" applyNumberFormat="1" applyFont="1" applyFill="1" applyBorder="1"/>
    <xf numFmtId="167" fontId="22" fillId="0" borderId="2" xfId="0" applyNumberFormat="1" applyFont="1" applyFill="1" applyBorder="1" applyAlignment="1">
      <alignment horizontal="center" wrapText="1"/>
    </xf>
    <xf numFmtId="167" fontId="22" fillId="0" borderId="2" xfId="0" applyNumberFormat="1" applyFont="1" applyFill="1" applyBorder="1" applyAlignment="1">
      <alignment horizontal="center"/>
    </xf>
    <xf numFmtId="0" fontId="19" fillId="0" borderId="0" xfId="2" applyNumberFormat="1" applyFont="1" applyFill="1" applyAlignment="1">
      <alignment horizontal="left"/>
    </xf>
    <xf numFmtId="4" fontId="33" fillId="0" borderId="0" xfId="2" applyNumberFormat="1" applyFont="1" applyFill="1" applyAlignment="1" applyProtection="1">
      <alignment horizontal="center"/>
    </xf>
    <xf numFmtId="2" fontId="19" fillId="9" borderId="0" xfId="2" applyNumberFormat="1" applyFont="1" applyFill="1" applyAlignment="1">
      <alignment horizontal="center"/>
    </xf>
    <xf numFmtId="2" fontId="22" fillId="9" borderId="0" xfId="2" applyNumberFormat="1" applyFont="1" applyFill="1" applyAlignment="1">
      <alignment horizontal="center"/>
    </xf>
    <xf numFmtId="4" fontId="33" fillId="0" borderId="0" xfId="2" applyNumberFormat="1" applyFont="1" applyFill="1"/>
    <xf numFmtId="167" fontId="33" fillId="0" borderId="0" xfId="2" applyNumberFormat="1" applyFont="1" applyFill="1"/>
    <xf numFmtId="2" fontId="19" fillId="0" borderId="0" xfId="2" applyNumberFormat="1" applyFont="1" applyFill="1" applyAlignment="1">
      <alignment horizontal="center"/>
    </xf>
    <xf numFmtId="167" fontId="19" fillId="9" borderId="0" xfId="2" applyNumberFormat="1" applyFont="1" applyFill="1" applyAlignment="1">
      <alignment horizontal="center"/>
    </xf>
    <xf numFmtId="0" fontId="22" fillId="0" borderId="0" xfId="2" applyNumberFormat="1" applyFont="1" applyFill="1" applyAlignment="1">
      <alignment horizontal="center"/>
    </xf>
    <xf numFmtId="3" fontId="22" fillId="0" borderId="2" xfId="0" applyFont="1" applyFill="1" applyBorder="1" applyAlignment="1">
      <alignment horizontal="center" wrapText="1"/>
    </xf>
    <xf numFmtId="167" fontId="19" fillId="0" borderId="0" xfId="0" applyNumberFormat="1" applyFont="1" applyFill="1" applyAlignment="1">
      <alignment horizontal="right"/>
    </xf>
    <xf numFmtId="167" fontId="19" fillId="0" borderId="0" xfId="0" applyNumberFormat="1" applyFont="1" applyFill="1" applyBorder="1" applyAlignment="1">
      <alignment horizontal="center" wrapText="1"/>
    </xf>
    <xf numFmtId="169" fontId="19" fillId="0" borderId="0" xfId="10" applyNumberFormat="1" applyFont="1"/>
    <xf numFmtId="171" fontId="19" fillId="0" borderId="0" xfId="0" applyNumberFormat="1" applyFont="1"/>
    <xf numFmtId="167" fontId="19" fillId="7" borderId="0" xfId="2" applyNumberFormat="1" applyFont="1" applyFill="1" applyAlignment="1">
      <alignment horizontal="center"/>
    </xf>
    <xf numFmtId="167" fontId="22" fillId="0" borderId="0" xfId="0" applyNumberFormat="1" applyFont="1" applyFill="1" applyAlignment="1">
      <alignment horizontal="center" wrapText="1"/>
    </xf>
    <xf numFmtId="170" fontId="19" fillId="12" borderId="0" xfId="0" applyNumberFormat="1" applyFont="1" applyFill="1" applyBorder="1" applyAlignment="1">
      <alignment horizontal="right"/>
    </xf>
    <xf numFmtId="3" fontId="20" fillId="0" borderId="0" xfId="0" applyFont="1"/>
    <xf numFmtId="3" fontId="20" fillId="0" borderId="0" xfId="0" applyFont="1" applyFill="1"/>
    <xf numFmtId="167" fontId="19" fillId="0" borderId="0" xfId="0" applyNumberFormat="1" applyFont="1" applyFill="1" applyBorder="1" applyAlignment="1">
      <alignment horizontal="left"/>
    </xf>
    <xf numFmtId="2" fontId="22" fillId="0" borderId="0" xfId="2" applyNumberFormat="1" applyFont="1" applyFill="1" applyAlignment="1">
      <alignment horizontal="center"/>
    </xf>
    <xf numFmtId="3" fontId="22" fillId="0" borderId="0" xfId="2" applyFont="1" applyFill="1" applyAlignment="1">
      <alignment horizontal="center"/>
    </xf>
    <xf numFmtId="4" fontId="22" fillId="0" borderId="0" xfId="2" applyNumberFormat="1" applyFont="1" applyFill="1" applyAlignment="1">
      <alignment horizontal="center"/>
    </xf>
    <xf numFmtId="167" fontId="33" fillId="7" borderId="0" xfId="0" applyNumberFormat="1" applyFont="1" applyFill="1" applyBorder="1" applyAlignment="1">
      <alignment horizontal="right"/>
    </xf>
    <xf numFmtId="167" fontId="19" fillId="13" borderId="0" xfId="0" applyNumberFormat="1" applyFont="1" applyFill="1" applyBorder="1" applyAlignment="1">
      <alignment horizontal="right"/>
    </xf>
    <xf numFmtId="170" fontId="19" fillId="0" borderId="0" xfId="0" applyNumberFormat="1" applyFont="1" applyFill="1" applyBorder="1" applyAlignment="1">
      <alignment horizontal="center"/>
    </xf>
    <xf numFmtId="49" fontId="22" fillId="0" borderId="0" xfId="0" applyNumberFormat="1" applyFont="1" applyFill="1" applyAlignment="1">
      <alignment horizontal="center"/>
    </xf>
    <xf numFmtId="170" fontId="19" fillId="0" borderId="0" xfId="2" applyNumberFormat="1" applyFont="1" applyFill="1" applyAlignment="1">
      <alignment horizontal="center"/>
    </xf>
    <xf numFmtId="3" fontId="19" fillId="11" borderId="0" xfId="2" applyFont="1" applyFill="1"/>
    <xf numFmtId="3" fontId="33" fillId="7" borderId="0" xfId="2" applyFont="1" applyFill="1" applyAlignment="1">
      <alignment horizontal="center"/>
    </xf>
    <xf numFmtId="167" fontId="19" fillId="9" borderId="0" xfId="11" applyNumberFormat="1" applyFont="1" applyFill="1" applyAlignment="1">
      <alignment horizontal="center"/>
    </xf>
    <xf numFmtId="167" fontId="19" fillId="11" borderId="0" xfId="0" applyNumberFormat="1" applyFont="1" applyFill="1"/>
    <xf numFmtId="3" fontId="19" fillId="0" borderId="0" xfId="0" applyFont="1" applyFill="1" applyBorder="1" applyAlignment="1">
      <alignment horizontal="right"/>
    </xf>
    <xf numFmtId="167" fontId="19" fillId="9" borderId="0" xfId="0" applyNumberFormat="1" applyFont="1" applyFill="1" applyBorder="1" applyAlignment="1">
      <alignment horizontal="right" indent="13"/>
    </xf>
    <xf numFmtId="14" fontId="19" fillId="0" borderId="0" xfId="0" applyNumberFormat="1" applyFont="1"/>
    <xf numFmtId="3" fontId="22" fillId="14" borderId="0" xfId="0" applyFont="1" applyFill="1" applyAlignment="1" applyProtection="1">
      <alignment horizontal="left"/>
    </xf>
    <xf numFmtId="3" fontId="22" fillId="14" borderId="0" xfId="0" applyFont="1" applyFill="1" applyAlignment="1">
      <alignment horizontal="center"/>
    </xf>
    <xf numFmtId="3" fontId="28" fillId="14" borderId="0" xfId="0" applyFont="1" applyFill="1" applyAlignment="1">
      <alignment horizontal="center"/>
    </xf>
    <xf numFmtId="49" fontId="15" fillId="0" borderId="0" xfId="0" applyNumberFormat="1" applyFont="1" applyFill="1" applyAlignment="1">
      <alignment horizontal="center"/>
    </xf>
    <xf numFmtId="49" fontId="30" fillId="0" borderId="0" xfId="0" applyNumberFormat="1" applyFont="1" applyFill="1" applyAlignment="1">
      <alignment horizontal="center"/>
    </xf>
    <xf numFmtId="49" fontId="29" fillId="0" borderId="0" xfId="0" applyNumberFormat="1" applyFont="1" applyFill="1" applyAlignment="1">
      <alignment horizontal="center"/>
    </xf>
    <xf numFmtId="49" fontId="22" fillId="0" borderId="0" xfId="0" applyNumberFormat="1" applyFont="1" applyFill="1" applyAlignment="1">
      <alignment horizontal="center" wrapText="1"/>
    </xf>
    <xf numFmtId="49" fontId="22" fillId="0" borderId="2" xfId="0" applyNumberFormat="1" applyFont="1" applyFill="1" applyBorder="1" applyAlignment="1">
      <alignment horizontal="center"/>
    </xf>
    <xf numFmtId="49" fontId="22" fillId="0" borderId="0" xfId="0" applyNumberFormat="1" applyFont="1" applyFill="1" applyBorder="1" applyAlignment="1">
      <alignment horizontal="center"/>
    </xf>
    <xf numFmtId="49" fontId="22" fillId="0" borderId="3" xfId="0" applyNumberFormat="1" applyFont="1" applyFill="1" applyBorder="1" applyAlignment="1">
      <alignment horizontal="center"/>
    </xf>
    <xf numFmtId="49" fontId="29" fillId="0" borderId="0" xfId="0" applyNumberFormat="1" applyFont="1" applyFill="1" applyBorder="1" applyAlignment="1">
      <alignment horizontal="center"/>
    </xf>
    <xf numFmtId="49" fontId="22" fillId="0" borderId="0" xfId="0" applyNumberFormat="1" applyFont="1" applyFill="1" applyAlignment="1" applyProtection="1">
      <alignment horizontal="center"/>
    </xf>
    <xf numFmtId="49" fontId="22" fillId="14" borderId="0" xfId="0" applyNumberFormat="1" applyFont="1" applyFill="1" applyAlignment="1">
      <alignment horizontal="center"/>
    </xf>
    <xf numFmtId="49" fontId="28" fillId="0" borderId="0" xfId="0" applyNumberFormat="1" applyFont="1" applyFill="1" applyAlignment="1" applyProtection="1">
      <alignment horizontal="center" wrapText="1"/>
    </xf>
    <xf numFmtId="49" fontId="22" fillId="0" borderId="0" xfId="0" applyNumberFormat="1" applyFont="1" applyFill="1" applyAlignment="1" applyProtection="1">
      <alignment horizontal="left"/>
    </xf>
    <xf numFmtId="49" fontId="28" fillId="0" borderId="0" xfId="0" applyNumberFormat="1" applyFont="1" applyFill="1" applyBorder="1" applyAlignment="1">
      <alignment horizontal="center"/>
    </xf>
    <xf numFmtId="49" fontId="29" fillId="0" borderId="0" xfId="0" applyNumberFormat="1" applyFont="1" applyFill="1" applyBorder="1"/>
    <xf numFmtId="167" fontId="19" fillId="15" borderId="0" xfId="0" applyNumberFormat="1" applyFont="1" applyFill="1" applyAlignment="1">
      <alignment horizontal="center"/>
    </xf>
    <xf numFmtId="3" fontId="30" fillId="0" borderId="0" xfId="0" applyFont="1" applyFill="1" applyAlignment="1" applyProtection="1">
      <alignment horizontal="left"/>
    </xf>
    <xf numFmtId="3" fontId="30" fillId="0" borderId="0" xfId="0" applyFont="1" applyFill="1" applyBorder="1" applyAlignment="1" applyProtection="1">
      <alignment horizontal="left" wrapText="1"/>
    </xf>
    <xf numFmtId="3" fontId="30" fillId="0" borderId="3" xfId="0" applyFont="1" applyFill="1" applyBorder="1" applyAlignment="1" applyProtection="1">
      <alignment horizontal="left" wrapText="1"/>
    </xf>
    <xf numFmtId="3" fontId="30" fillId="0" borderId="0" xfId="0" applyFont="1" applyFill="1" applyAlignment="1" applyProtection="1">
      <alignment horizontal="left" wrapText="1"/>
    </xf>
    <xf numFmtId="3" fontId="22" fillId="16" borderId="0" xfId="0" applyFont="1" applyFill="1" applyAlignment="1" applyProtection="1">
      <alignment horizontal="left"/>
    </xf>
    <xf numFmtId="167" fontId="19" fillId="16" borderId="0" xfId="0" applyNumberFormat="1" applyFont="1" applyFill="1" applyBorder="1" applyAlignment="1">
      <alignment horizontal="right"/>
    </xf>
    <xf numFmtId="167" fontId="33" fillId="16" borderId="0" xfId="0" applyNumberFormat="1" applyFont="1" applyFill="1" applyBorder="1" applyAlignment="1">
      <alignment horizontal="right"/>
    </xf>
    <xf numFmtId="169" fontId="19" fillId="16" borderId="0" xfId="10" applyNumberFormat="1" applyFont="1" applyFill="1" applyBorder="1"/>
    <xf numFmtId="167" fontId="19" fillId="14" borderId="3" xfId="0" applyNumberFormat="1" applyFont="1" applyFill="1" applyBorder="1" applyAlignment="1">
      <alignment horizontal="center"/>
    </xf>
    <xf numFmtId="3" fontId="22" fillId="16" borderId="0" xfId="0" applyFont="1" applyFill="1" applyAlignment="1">
      <alignment horizontal="left"/>
    </xf>
    <xf numFmtId="9" fontId="19" fillId="16" borderId="0" xfId="10" applyFont="1" applyFill="1"/>
    <xf numFmtId="167" fontId="19" fillId="16" borderId="0" xfId="0" applyNumberFormat="1" applyFont="1" applyFill="1"/>
    <xf numFmtId="170" fontId="19" fillId="0" borderId="0" xfId="10" applyNumberFormat="1" applyFont="1"/>
    <xf numFmtId="170" fontId="19" fillId="0" borderId="0" xfId="0" applyNumberFormat="1" applyFont="1"/>
    <xf numFmtId="167" fontId="19" fillId="14" borderId="0" xfId="0" applyNumberFormat="1" applyFont="1" applyFill="1" applyBorder="1" applyAlignment="1">
      <alignment horizontal="center"/>
    </xf>
    <xf numFmtId="167" fontId="19" fillId="14" borderId="0" xfId="0" applyNumberFormat="1" applyFont="1" applyFill="1" applyAlignment="1">
      <alignment horizontal="center"/>
    </xf>
    <xf numFmtId="3" fontId="22" fillId="16" borderId="0" xfId="0" applyFont="1" applyFill="1" applyBorder="1" applyAlignment="1" applyProtection="1">
      <alignment horizontal="left"/>
    </xf>
    <xf numFmtId="170" fontId="19" fillId="16" borderId="0" xfId="0" applyNumberFormat="1" applyFont="1" applyFill="1" applyBorder="1"/>
    <xf numFmtId="10" fontId="19" fillId="16" borderId="0" xfId="10" applyNumberFormat="1" applyFont="1" applyFill="1" applyBorder="1"/>
    <xf numFmtId="3" fontId="19" fillId="16" borderId="0" xfId="2" applyFont="1" applyFill="1" applyAlignment="1">
      <alignment horizontal="center"/>
    </xf>
    <xf numFmtId="167" fontId="19" fillId="16" borderId="0" xfId="2" applyNumberFormat="1" applyFont="1" applyFill="1" applyAlignment="1">
      <alignment horizontal="center"/>
    </xf>
    <xf numFmtId="9" fontId="19" fillId="16" borderId="0" xfId="10" applyFont="1" applyFill="1" applyAlignment="1">
      <alignment horizontal="center"/>
    </xf>
    <xf numFmtId="9" fontId="19" fillId="16" borderId="0" xfId="10" applyFont="1" applyFill="1" applyAlignment="1" applyProtection="1">
      <alignment horizontal="center"/>
    </xf>
    <xf numFmtId="167" fontId="33" fillId="16" borderId="0" xfId="2" applyNumberFormat="1" applyFont="1" applyFill="1" applyAlignment="1">
      <alignment horizontal="center"/>
    </xf>
    <xf numFmtId="2" fontId="22" fillId="14" borderId="0" xfId="2" applyNumberFormat="1" applyFont="1" applyFill="1" applyAlignment="1">
      <alignment horizontal="center"/>
    </xf>
    <xf numFmtId="3" fontId="22" fillId="16" borderId="0" xfId="2" applyFont="1" applyFill="1"/>
    <xf numFmtId="3" fontId="30" fillId="16" borderId="0" xfId="0" applyFont="1" applyFill="1" applyAlignment="1" applyProtection="1">
      <alignment horizontal="left"/>
    </xf>
    <xf numFmtId="4" fontId="19" fillId="16" borderId="0" xfId="2" applyNumberFormat="1" applyFont="1" applyFill="1" applyAlignment="1">
      <alignment horizontal="center"/>
    </xf>
    <xf numFmtId="170" fontId="19" fillId="0" borderId="0" xfId="2" applyNumberFormat="1" applyFont="1" applyFill="1"/>
    <xf numFmtId="167" fontId="19" fillId="16" borderId="0" xfId="0" applyNumberFormat="1" applyFont="1" applyFill="1" applyBorder="1"/>
    <xf numFmtId="167" fontId="22" fillId="14" borderId="0" xfId="2" applyNumberFormat="1" applyFont="1" applyFill="1" applyAlignment="1">
      <alignment horizontal="center"/>
    </xf>
    <xf numFmtId="167" fontId="22" fillId="9" borderId="0" xfId="2" applyNumberFormat="1" applyFont="1" applyFill="1" applyAlignment="1">
      <alignment horizontal="center"/>
    </xf>
    <xf numFmtId="3" fontId="22" fillId="16" borderId="0" xfId="0" applyFont="1" applyFill="1" applyBorder="1" applyAlignment="1">
      <alignment horizontal="left"/>
    </xf>
    <xf numFmtId="167" fontId="19" fillId="16" borderId="0" xfId="9" applyNumberFormat="1" applyFont="1" applyFill="1" applyBorder="1" applyAlignment="1">
      <alignment horizontal="right"/>
    </xf>
    <xf numFmtId="167" fontId="33" fillId="16" borderId="0" xfId="9" applyNumberFormat="1" applyFont="1" applyFill="1" applyBorder="1" applyAlignment="1"/>
    <xf numFmtId="167" fontId="19" fillId="0" borderId="5" xfId="0" applyNumberFormat="1" applyFont="1" applyFill="1" applyBorder="1"/>
    <xf numFmtId="3" fontId="19" fillId="0" borderId="5" xfId="0" applyFont="1" applyFill="1" applyBorder="1"/>
    <xf numFmtId="167" fontId="19" fillId="4" borderId="0" xfId="0" applyNumberFormat="1" applyFont="1" applyFill="1" applyBorder="1" applyAlignment="1">
      <alignment horizontal="right"/>
    </xf>
    <xf numFmtId="167" fontId="19" fillId="4" borderId="5" xfId="0" applyNumberFormat="1" applyFont="1" applyFill="1" applyBorder="1" applyAlignment="1">
      <alignment horizontal="right"/>
    </xf>
    <xf numFmtId="3" fontId="45" fillId="0" borderId="0" xfId="0" applyFont="1" applyFill="1" applyAlignment="1">
      <alignment horizontal="left"/>
    </xf>
    <xf numFmtId="167" fontId="22" fillId="0" borderId="0" xfId="0" applyNumberFormat="1" applyFont="1" applyFill="1" applyAlignment="1">
      <alignment horizontal="center" wrapText="1"/>
    </xf>
    <xf numFmtId="3" fontId="15" fillId="0" borderId="0" xfId="0" applyFont="1" applyFill="1" applyAlignment="1">
      <alignment horizontal="left"/>
    </xf>
    <xf numFmtId="3" fontId="2" fillId="0" borderId="0" xfId="2" applyFont="1" applyFill="1" applyAlignment="1">
      <alignment horizontal="center" vertical="center"/>
    </xf>
    <xf numFmtId="3" fontId="22" fillId="0" borderId="0" xfId="0" applyFont="1" applyAlignment="1">
      <alignment horizontal="left" wrapText="1"/>
    </xf>
    <xf numFmtId="3" fontId="19" fillId="0" borderId="0" xfId="0" applyFont="1" applyFill="1" applyBorder="1" applyAlignment="1" applyProtection="1">
      <alignment horizontal="left" indent="2"/>
    </xf>
    <xf numFmtId="167" fontId="19" fillId="0" borderId="2" xfId="0" applyNumberFormat="1" applyFont="1" applyFill="1" applyBorder="1" applyAlignment="1">
      <alignment horizontal="right"/>
    </xf>
  </cellXfs>
  <cellStyles count="12">
    <cellStyle name="Comma" xfId="11" builtinId="3"/>
    <cellStyle name="Currency" xfId="9" builtinId="4"/>
    <cellStyle name="Normal" xfId="0" builtinId="0"/>
    <cellStyle name="Normal 2" xfId="1" xr:uid="{00000000-0005-0000-0000-000002000000}"/>
    <cellStyle name="Normal_CBTORD2001" xfId="2" xr:uid="{00000000-0005-0000-0000-000003000000}"/>
    <cellStyle name="Percent" xfId="10" builtinId="5"/>
    <cellStyle name="PSChar" xfId="3" xr:uid="{00000000-0005-0000-0000-000004000000}"/>
    <cellStyle name="PSDate" xfId="4" xr:uid="{00000000-0005-0000-0000-000005000000}"/>
    <cellStyle name="PSDec" xfId="5" xr:uid="{00000000-0005-0000-0000-000006000000}"/>
    <cellStyle name="PSHeading" xfId="6" xr:uid="{00000000-0005-0000-0000-000007000000}"/>
    <cellStyle name="PSInt" xfId="7" xr:uid="{00000000-0005-0000-0000-000008000000}"/>
    <cellStyle name="PSSpacer" xfId="8" xr:uid="{00000000-0005-0000-0000-000009000000}"/>
  </cellStyles>
  <dxfs count="0"/>
  <tableStyles count="1" defaultTableStyle="TableStyleMedium2" defaultPivotStyle="PivotStyleLight16">
    <tableStyle name="Invisible" pivot="0" table="0" count="0" xr9:uid="{F70F7E31-159B-4E8C-839A-14916D8C25F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FF"/>
      <color rgb="FFB17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29</xdr:col>
      <xdr:colOff>2233448</xdr:colOff>
      <xdr:row>96</xdr:row>
      <xdr:rowOff>124811</xdr:rowOff>
    </xdr:from>
    <xdr:to>
      <xdr:col>31</xdr:col>
      <xdr:colOff>118242</xdr:colOff>
      <xdr:row>99</xdr:row>
      <xdr:rowOff>26277</xdr:rowOff>
    </xdr:to>
    <xdr:sp macro="" textlink="">
      <xdr:nvSpPr>
        <xdr:cNvPr id="2" name="TextBox 1">
          <a:extLst>
            <a:ext uri="{FF2B5EF4-FFF2-40B4-BE49-F238E27FC236}">
              <a16:creationId xmlns:a16="http://schemas.microsoft.com/office/drawing/2014/main" id="{3CD84F19-883D-63C4-322A-B0F0B5DE1753}"/>
            </a:ext>
          </a:extLst>
        </xdr:cNvPr>
        <xdr:cNvSpPr txBox="1"/>
      </xdr:nvSpPr>
      <xdr:spPr>
        <a:xfrm>
          <a:off x="26696276" y="21132363"/>
          <a:ext cx="2667000" cy="472966"/>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2024 rates - need to update with 2025 rates once the 2025 CBT conract is settled</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695325</xdr:colOff>
      <xdr:row>8</xdr:row>
      <xdr:rowOff>161925</xdr:rowOff>
    </xdr:from>
    <xdr:ext cx="1180131" cy="264560"/>
    <xdr:sp macro="" textlink="">
      <xdr:nvSpPr>
        <xdr:cNvPr id="2" name="TextBox 1">
          <a:extLst>
            <a:ext uri="{FF2B5EF4-FFF2-40B4-BE49-F238E27FC236}">
              <a16:creationId xmlns:a16="http://schemas.microsoft.com/office/drawing/2014/main" id="{09B4C949-242E-49C1-8B9E-739A095327E8}"/>
            </a:ext>
          </a:extLst>
        </xdr:cNvPr>
        <xdr:cNvSpPr txBox="1"/>
      </xdr:nvSpPr>
      <xdr:spPr>
        <a:xfrm>
          <a:off x="1457325" y="2066925"/>
          <a:ext cx="11801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*Effective</a:t>
          </a:r>
          <a:r>
            <a:rPr lang="en-US" sz="1100" baseline="0"/>
            <a:t> 6/3/19</a:t>
          </a:r>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eav507\Nelmspk0$\LABOR\AmyHirsch\CEL\CELxscost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 List CBT"/>
      <sheetName val="Outside rate comp"/>
      <sheetName val="CEL2001"/>
      <sheetName val="Pension $"/>
      <sheetName val="Sick and Severence"/>
      <sheetName val="Hours worked"/>
      <sheetName val="MERF Cost"/>
      <sheetName val="CEL Pension quer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48" transitionEvaluation="1" codeName="Sheet1"/>
  <dimension ref="A1:AG275"/>
  <sheetViews>
    <sheetView showGridLines="0" tabSelected="1" zoomScale="145" zoomScaleNormal="145" workbookViewId="0">
      <pane ySplit="6" topLeftCell="A148" activePane="bottomLeft" state="frozen"/>
      <selection activeCell="G1" sqref="G1"/>
      <selection pane="bottomLeft" activeCell="G207" sqref="G207"/>
    </sheetView>
  </sheetViews>
  <sheetFormatPr defaultColWidth="16.33203125" defaultRowHeight="15"/>
  <cols>
    <col min="1" max="1" width="8.88671875" style="155" customWidth="1"/>
    <col min="2" max="2" width="4.109375" style="155" customWidth="1"/>
    <col min="3" max="4" width="3.5546875" style="158" customWidth="1"/>
    <col min="5" max="5" width="6.6640625" style="81" customWidth="1"/>
    <col min="6" max="6" width="6.6640625" style="288" customWidth="1"/>
    <col min="7" max="7" width="32" style="151" customWidth="1"/>
    <col min="8" max="9" width="0.109375" style="154" hidden="1" customWidth="1"/>
    <col min="10" max="10" width="4.77734375" style="155" customWidth="1"/>
    <col min="11" max="11" width="13" style="155" customWidth="1"/>
    <col min="12" max="12" width="16.21875" style="226" customWidth="1"/>
    <col min="13" max="13" width="10.6640625" style="226" bestFit="1" customWidth="1"/>
    <col min="14" max="14" width="8.21875" style="226" bestFit="1" customWidth="1"/>
    <col min="15" max="15" width="9.88671875" style="226" customWidth="1"/>
    <col min="16" max="16" width="8.44140625" style="226" customWidth="1"/>
    <col min="17" max="17" width="9" style="227" customWidth="1"/>
    <col min="18" max="18" width="8.6640625" style="227" customWidth="1"/>
    <col min="19" max="20" width="12.5546875" style="226" customWidth="1"/>
    <col min="21" max="21" width="13.44140625" style="226" bestFit="1" customWidth="1"/>
    <col min="22" max="22" width="7.5546875" style="226" bestFit="1" customWidth="1"/>
    <col min="23" max="23" width="5.44140625" style="153" hidden="1" customWidth="1"/>
    <col min="24" max="24" width="7.33203125" style="154" hidden="1" customWidth="1"/>
    <col min="25" max="25" width="7.88671875" style="149" customWidth="1"/>
    <col min="26" max="26" width="27.5546875" style="192" bestFit="1" customWidth="1"/>
    <col min="27" max="27" width="6" style="197" bestFit="1" customWidth="1"/>
    <col min="28" max="28" width="31.88671875" style="149" bestFit="1" customWidth="1"/>
    <col min="29" max="29" width="22.77734375" style="149" bestFit="1" customWidth="1"/>
    <col min="30" max="30" width="28" style="149" customWidth="1"/>
    <col min="31" max="31" width="27.77734375" style="149" bestFit="1" customWidth="1"/>
    <col min="32" max="16384" width="16.33203125" style="149"/>
  </cols>
  <sheetData>
    <row r="1" spans="1:32" ht="23.25">
      <c r="A1" s="342" t="s">
        <v>356</v>
      </c>
      <c r="B1" s="342"/>
      <c r="C1" s="342"/>
      <c r="D1" s="342"/>
      <c r="E1" s="342"/>
      <c r="F1" s="342"/>
      <c r="G1" s="342"/>
      <c r="H1" s="342"/>
      <c r="I1" s="342"/>
      <c r="J1" s="342"/>
      <c r="K1" s="342"/>
      <c r="L1" s="342"/>
      <c r="M1" s="342"/>
      <c r="N1" s="225"/>
      <c r="Z1" s="265"/>
    </row>
    <row r="2" spans="1:32" ht="23.25">
      <c r="A2" s="327" t="s">
        <v>384</v>
      </c>
      <c r="C2" s="145"/>
      <c r="D2" s="145"/>
      <c r="E2" s="145"/>
      <c r="F2" s="286"/>
      <c r="G2" s="145"/>
      <c r="H2" s="145"/>
      <c r="I2" s="145"/>
      <c r="J2" s="145"/>
      <c r="K2" s="145"/>
      <c r="L2" s="225"/>
      <c r="M2" s="225"/>
      <c r="N2" s="225"/>
    </row>
    <row r="3" spans="1:32" ht="18.75">
      <c r="A3" s="340" t="s">
        <v>426</v>
      </c>
      <c r="C3" s="140"/>
      <c r="D3" s="140"/>
      <c r="E3" s="140"/>
      <c r="F3" s="287"/>
      <c r="G3" s="141"/>
      <c r="H3" s="142"/>
      <c r="I3" s="142"/>
      <c r="J3" s="140"/>
      <c r="K3" s="140"/>
      <c r="L3" s="228"/>
    </row>
    <row r="4" spans="1:32" ht="30">
      <c r="B4" s="80"/>
      <c r="H4" s="79"/>
      <c r="I4" s="79"/>
      <c r="J4" s="158"/>
      <c r="K4" s="82"/>
      <c r="L4" s="263" t="s">
        <v>172</v>
      </c>
      <c r="M4" s="341" t="s">
        <v>199</v>
      </c>
      <c r="N4" s="341" t="s">
        <v>43</v>
      </c>
      <c r="O4" s="341" t="s">
        <v>85</v>
      </c>
      <c r="P4" s="341" t="s">
        <v>86</v>
      </c>
      <c r="Q4" s="229"/>
      <c r="R4" s="229"/>
      <c r="S4" s="163"/>
      <c r="T4" s="163"/>
      <c r="U4" s="163"/>
      <c r="V4" s="341" t="s">
        <v>73</v>
      </c>
    </row>
    <row r="5" spans="1:32" ht="45">
      <c r="A5" s="83" t="s">
        <v>59</v>
      </c>
      <c r="B5" s="160" t="s">
        <v>56</v>
      </c>
      <c r="C5" s="158" t="s">
        <v>57</v>
      </c>
      <c r="E5" s="83" t="s">
        <v>58</v>
      </c>
      <c r="F5" s="289" t="s">
        <v>60</v>
      </c>
      <c r="G5" s="78"/>
      <c r="H5" s="79"/>
      <c r="I5" s="79"/>
      <c r="J5" s="206" t="s">
        <v>319</v>
      </c>
      <c r="K5" s="82"/>
      <c r="L5" s="263" t="s">
        <v>321</v>
      </c>
      <c r="M5" s="341"/>
      <c r="N5" s="341"/>
      <c r="O5" s="341"/>
      <c r="P5" s="341"/>
      <c r="Q5" s="163" t="s">
        <v>29</v>
      </c>
      <c r="R5" s="163" t="s">
        <v>30</v>
      </c>
      <c r="S5" s="163" t="s">
        <v>31</v>
      </c>
      <c r="T5" s="163" t="s">
        <v>44</v>
      </c>
      <c r="U5" s="263" t="s">
        <v>320</v>
      </c>
      <c r="V5" s="341"/>
      <c r="W5" s="159" t="s">
        <v>39</v>
      </c>
    </row>
    <row r="6" spans="1:32">
      <c r="G6" s="80"/>
      <c r="H6" s="79"/>
      <c r="I6" s="79"/>
      <c r="K6" s="82"/>
      <c r="Q6" s="226"/>
      <c r="R6" s="226"/>
      <c r="U6" s="230"/>
      <c r="W6" s="159"/>
    </row>
    <row r="7" spans="1:32" ht="18.75">
      <c r="B7" s="160" t="s">
        <v>1</v>
      </c>
      <c r="C7" s="158">
        <v>2</v>
      </c>
      <c r="E7" s="161" t="s">
        <v>4</v>
      </c>
      <c r="F7" s="274" t="s">
        <v>109</v>
      </c>
      <c r="G7" s="301" t="s">
        <v>61</v>
      </c>
      <c r="H7" s="162">
        <v>275</v>
      </c>
      <c r="I7" s="162">
        <v>6</v>
      </c>
      <c r="J7" s="160" t="s">
        <v>2</v>
      </c>
      <c r="K7" s="156" t="s">
        <v>34</v>
      </c>
      <c r="L7" s="300">
        <f>AA7+AA13+AA14</f>
        <v>49.910000000000004</v>
      </c>
      <c r="M7" s="226">
        <f>AA7</f>
        <v>46.24</v>
      </c>
      <c r="N7" s="226">
        <f>L7+P7</f>
        <v>47.940000000000005</v>
      </c>
      <c r="O7" s="226">
        <f>-AA13</f>
        <v>-1.7</v>
      </c>
      <c r="P7" s="226">
        <f>-AA14</f>
        <v>-1.97</v>
      </c>
      <c r="Q7" s="226">
        <f>AA8+AA9</f>
        <v>12.04</v>
      </c>
      <c r="R7" s="226">
        <f>AA10+AA11</f>
        <v>13.239999999999998</v>
      </c>
      <c r="S7" s="226">
        <f>AA16</f>
        <v>0.55000000000000004</v>
      </c>
      <c r="U7" s="226">
        <f>Q7+R7+S7</f>
        <v>25.83</v>
      </c>
      <c r="V7" s="226">
        <f>L7+U7</f>
        <v>75.740000000000009</v>
      </c>
      <c r="W7" s="159" t="s">
        <v>88</v>
      </c>
      <c r="Z7" s="192" t="s">
        <v>248</v>
      </c>
      <c r="AA7" s="334">
        <v>46.24</v>
      </c>
      <c r="AD7"/>
      <c r="AE7"/>
      <c r="AF7"/>
    </row>
    <row r="8" spans="1:32" ht="15.75">
      <c r="B8" s="333" t="s">
        <v>405</v>
      </c>
      <c r="E8" s="77"/>
      <c r="F8" s="274"/>
      <c r="H8" s="79"/>
      <c r="I8" s="79"/>
      <c r="J8" s="158"/>
      <c r="K8" s="156" t="s">
        <v>32</v>
      </c>
      <c r="L8" s="226">
        <f>L7*1.5</f>
        <v>74.865000000000009</v>
      </c>
      <c r="M8" s="226">
        <f>M7*1.5</f>
        <v>69.36</v>
      </c>
      <c r="N8" s="226">
        <f>N7*1.5</f>
        <v>71.910000000000011</v>
      </c>
      <c r="O8" s="226">
        <f>O7</f>
        <v>-1.7</v>
      </c>
      <c r="P8" s="226">
        <f>P7</f>
        <v>-1.97</v>
      </c>
      <c r="Q8" s="226">
        <f>Q7</f>
        <v>12.04</v>
      </c>
      <c r="R8" s="226">
        <f>R7</f>
        <v>13.239999999999998</v>
      </c>
      <c r="S8" s="226">
        <f>S7</f>
        <v>0.55000000000000004</v>
      </c>
      <c r="U8" s="226">
        <f>Q8+R8+S8</f>
        <v>25.83</v>
      </c>
      <c r="W8" s="159" t="str">
        <f>W7</f>
        <v>0..53</v>
      </c>
      <c r="Z8" s="192" t="s">
        <v>288</v>
      </c>
      <c r="AA8" s="334">
        <f>10.69+1.1</f>
        <v>11.79</v>
      </c>
      <c r="AC8" s="192"/>
      <c r="AD8"/>
      <c r="AE8"/>
      <c r="AF8"/>
    </row>
    <row r="9" spans="1:32" ht="15.75">
      <c r="A9" s="85">
        <v>1963</v>
      </c>
      <c r="B9" s="78" t="s">
        <v>406</v>
      </c>
      <c r="E9" s="77"/>
      <c r="F9" s="274"/>
      <c r="G9" s="80"/>
      <c r="H9" s="79"/>
      <c r="I9" s="79"/>
      <c r="J9" s="158"/>
      <c r="K9" s="156"/>
      <c r="Z9" s="192" t="s">
        <v>249</v>
      </c>
      <c r="AA9" s="334">
        <v>0.25</v>
      </c>
      <c r="AC9" s="192"/>
      <c r="AD9"/>
      <c r="AE9"/>
      <c r="AF9"/>
    </row>
    <row r="10" spans="1:32" ht="15.75">
      <c r="A10" s="85" t="s">
        <v>47</v>
      </c>
      <c r="B10" s="158"/>
      <c r="E10" s="77"/>
      <c r="F10" s="274"/>
      <c r="G10" s="64" t="s">
        <v>75</v>
      </c>
      <c r="K10" s="204"/>
      <c r="Z10" s="192" t="s">
        <v>250</v>
      </c>
      <c r="AA10" s="334">
        <f>1.5+1.2</f>
        <v>2.7</v>
      </c>
      <c r="AC10" s="192"/>
      <c r="AD10"/>
      <c r="AE10"/>
      <c r="AF10"/>
    </row>
    <row r="11" spans="1:32" ht="15.75">
      <c r="A11" s="85"/>
      <c r="B11" s="158"/>
      <c r="E11" s="77"/>
      <c r="F11" s="274"/>
      <c r="G11" s="64"/>
      <c r="K11" s="204"/>
      <c r="Z11" s="192" t="s">
        <v>153</v>
      </c>
      <c r="AA11" s="334">
        <v>10.54</v>
      </c>
      <c r="AC11" s="190"/>
      <c r="AD11"/>
      <c r="AE11"/>
      <c r="AF11"/>
    </row>
    <row r="12" spans="1:32" ht="15.75">
      <c r="B12" s="158"/>
      <c r="E12" s="77"/>
      <c r="F12" s="274"/>
      <c r="G12" s="64" t="s">
        <v>173</v>
      </c>
      <c r="K12" s="204"/>
      <c r="Z12" s="192" t="s">
        <v>407</v>
      </c>
      <c r="AA12" s="338">
        <v>1</v>
      </c>
      <c r="AB12" s="149" t="s">
        <v>393</v>
      </c>
      <c r="AC12" s="190"/>
      <c r="AD12"/>
      <c r="AE12"/>
      <c r="AF12"/>
    </row>
    <row r="13" spans="1:32" ht="15.75">
      <c r="B13" s="158"/>
      <c r="E13" s="77"/>
      <c r="F13" s="274"/>
      <c r="G13" s="64" t="str">
        <f>"These deductions do not pyramid. (I.e., the rates remain the same: "&amp;TEXT($AA$13,"$#.00")&amp;" per hour vacation and "&amp;TEXT($AA$14,"$#.00")&amp;" per hour dues are deducted and sent to the funds for all hours worked,"</f>
        <v>These deductions do not pyramid. (I.e., the rates remain the same: $1.70 per hour vacation and $1.97 per hour dues are deducted and sent to the funds for all hours worked,</v>
      </c>
      <c r="K13" s="204"/>
      <c r="Z13" s="192" t="s">
        <v>251</v>
      </c>
      <c r="AA13" s="334">
        <v>1.7</v>
      </c>
      <c r="AD13"/>
      <c r="AE13"/>
      <c r="AF13"/>
    </row>
    <row r="14" spans="1:32" ht="15.75">
      <c r="B14" s="158"/>
      <c r="E14" s="77"/>
      <c r="F14" s="274"/>
      <c r="G14" s="64" t="s">
        <v>189</v>
      </c>
      <c r="K14" s="204"/>
      <c r="Z14" s="192" t="s">
        <v>28</v>
      </c>
      <c r="AA14" s="334">
        <v>1.97</v>
      </c>
      <c r="AD14"/>
      <c r="AE14"/>
      <c r="AF14"/>
    </row>
    <row r="15" spans="1:32">
      <c r="B15" s="158"/>
      <c r="E15" s="77"/>
      <c r="F15" s="274"/>
      <c r="G15" s="64"/>
      <c r="K15" s="204"/>
      <c r="Z15" s="192" t="s">
        <v>252</v>
      </c>
      <c r="AA15" s="307">
        <v>0.79</v>
      </c>
      <c r="AB15" s="149" t="s">
        <v>372</v>
      </c>
    </row>
    <row r="16" spans="1:32">
      <c r="B16" s="158"/>
      <c r="E16" s="77"/>
      <c r="F16" s="274"/>
      <c r="G16" s="64" t="s">
        <v>87</v>
      </c>
      <c r="K16" s="204"/>
      <c r="Z16" s="192" t="s">
        <v>253</v>
      </c>
      <c r="AA16" s="334">
        <v>0.55000000000000004</v>
      </c>
    </row>
    <row r="17" spans="1:28">
      <c r="B17" s="158"/>
      <c r="E17" s="77"/>
      <c r="F17" s="274"/>
      <c r="G17" s="64"/>
      <c r="K17" s="204"/>
      <c r="Z17" s="192" t="s">
        <v>309</v>
      </c>
      <c r="AA17" s="335">
        <v>0.28000000000000003</v>
      </c>
      <c r="AB17" s="149" t="s">
        <v>372</v>
      </c>
    </row>
    <row r="18" spans="1:28">
      <c r="B18" s="158"/>
      <c r="E18" s="77"/>
      <c r="F18" s="274"/>
      <c r="G18" s="105" t="s">
        <v>174</v>
      </c>
      <c r="K18" s="204"/>
      <c r="Z18" s="192" t="s">
        <v>310</v>
      </c>
      <c r="AA18" s="307">
        <v>0.01</v>
      </c>
      <c r="AB18" s="149" t="s">
        <v>372</v>
      </c>
    </row>
    <row r="19" spans="1:28">
      <c r="B19" s="158"/>
      <c r="E19" s="77"/>
      <c r="F19" s="274"/>
      <c r="G19" s="105" t="s">
        <v>412</v>
      </c>
      <c r="K19" s="204"/>
      <c r="Z19" s="192" t="s">
        <v>371</v>
      </c>
      <c r="AA19" s="307">
        <v>1</v>
      </c>
      <c r="AB19" s="149" t="s">
        <v>372</v>
      </c>
    </row>
    <row r="20" spans="1:28" ht="15.75" thickBot="1">
      <c r="A20" s="86"/>
      <c r="B20" s="87"/>
      <c r="C20" s="87"/>
      <c r="D20" s="88"/>
      <c r="E20" s="89"/>
      <c r="F20" s="290"/>
      <c r="G20" s="207"/>
      <c r="H20" s="88"/>
      <c r="I20" s="88"/>
      <c r="J20" s="86"/>
      <c r="K20" s="208"/>
      <c r="L20" s="231"/>
      <c r="M20" s="231"/>
      <c r="N20" s="231"/>
      <c r="O20" s="231"/>
      <c r="P20" s="231"/>
      <c r="Q20" s="202"/>
      <c r="R20" s="202"/>
      <c r="S20" s="231"/>
      <c r="T20" s="231"/>
      <c r="U20" s="231"/>
      <c r="V20" s="231"/>
      <c r="W20" s="94"/>
      <c r="X20" s="88"/>
      <c r="Z20" s="336" t="s">
        <v>408</v>
      </c>
      <c r="AA20" s="339">
        <v>0.01</v>
      </c>
      <c r="AB20" s="337" t="s">
        <v>393</v>
      </c>
    </row>
    <row r="21" spans="1:28" ht="15.75" thickTop="1">
      <c r="A21" s="164"/>
      <c r="B21" s="95"/>
      <c r="C21" s="95"/>
      <c r="D21" s="149"/>
      <c r="E21" s="96"/>
      <c r="F21" s="291"/>
      <c r="G21" s="157"/>
      <c r="H21" s="44"/>
      <c r="I21" s="44"/>
      <c r="J21" s="95"/>
      <c r="K21" s="97"/>
      <c r="L21" s="232"/>
      <c r="M21" s="232"/>
      <c r="N21" s="232"/>
      <c r="O21" s="232"/>
      <c r="P21" s="232"/>
      <c r="Q21" s="192"/>
      <c r="R21" s="192"/>
      <c r="S21" s="232"/>
      <c r="T21" s="232"/>
      <c r="U21" s="232"/>
      <c r="V21" s="232"/>
      <c r="W21" s="99"/>
      <c r="X21" s="149"/>
      <c r="AA21" s="197">
        <f>SUM(AA7:AA20)</f>
        <v>78.830000000000027</v>
      </c>
      <c r="AB21" s="149" t="s">
        <v>409</v>
      </c>
    </row>
    <row r="22" spans="1:28" ht="18.75">
      <c r="B22" s="160" t="s">
        <v>1</v>
      </c>
      <c r="C22" s="158">
        <v>2</v>
      </c>
      <c r="E22" s="161" t="s">
        <v>3</v>
      </c>
      <c r="F22" s="274">
        <v>16</v>
      </c>
      <c r="G22" s="301" t="s">
        <v>62</v>
      </c>
      <c r="H22" s="162">
        <v>263</v>
      </c>
      <c r="I22" s="162">
        <v>8</v>
      </c>
      <c r="J22" s="160" t="s">
        <v>2</v>
      </c>
      <c r="K22" s="156" t="s">
        <v>34</v>
      </c>
      <c r="L22" s="300">
        <f>L7+T22</f>
        <v>53.910000000000004</v>
      </c>
      <c r="M22" s="226">
        <f>L22+O22+P22</f>
        <v>50.24</v>
      </c>
      <c r="N22" s="226">
        <f>L22+P22</f>
        <v>51.940000000000005</v>
      </c>
      <c r="O22" s="226">
        <f>O7</f>
        <v>-1.7</v>
      </c>
      <c r="P22" s="226">
        <f>P7</f>
        <v>-1.97</v>
      </c>
      <c r="Q22" s="226">
        <f>Q7</f>
        <v>12.04</v>
      </c>
      <c r="R22" s="226">
        <f>R7</f>
        <v>13.239999999999998</v>
      </c>
      <c r="S22" s="226">
        <f>S7</f>
        <v>0.55000000000000004</v>
      </c>
      <c r="T22" s="226">
        <f>AA23</f>
        <v>4</v>
      </c>
      <c r="U22" s="226">
        <f>Q22+R22+S22</f>
        <v>25.83</v>
      </c>
      <c r="V22" s="226">
        <f>L22+U22</f>
        <v>79.740000000000009</v>
      </c>
      <c r="W22" s="159" t="str">
        <f>W7</f>
        <v>0..53</v>
      </c>
    </row>
    <row r="23" spans="1:28">
      <c r="B23" s="333" t="str">
        <f>B8</f>
        <v>(effective May 5, 2025)</v>
      </c>
      <c r="E23" s="77"/>
      <c r="F23" s="274"/>
      <c r="G23" s="80"/>
      <c r="H23" s="79"/>
      <c r="I23" s="79"/>
      <c r="J23" s="158"/>
      <c r="K23" s="156" t="s">
        <v>32</v>
      </c>
      <c r="L23" s="226">
        <f>L22*1.5</f>
        <v>80.865000000000009</v>
      </c>
      <c r="M23" s="226">
        <f>M22*1.5</f>
        <v>75.36</v>
      </c>
      <c r="N23" s="226">
        <f>N22*1.5</f>
        <v>77.910000000000011</v>
      </c>
      <c r="O23" s="226">
        <f>O22*1</f>
        <v>-1.7</v>
      </c>
      <c r="P23" s="226">
        <f>P22*1</f>
        <v>-1.97</v>
      </c>
      <c r="Q23" s="226">
        <f>Q22</f>
        <v>12.04</v>
      </c>
      <c r="R23" s="226">
        <f>R22</f>
        <v>13.239999999999998</v>
      </c>
      <c r="S23" s="226">
        <f>S22</f>
        <v>0.55000000000000004</v>
      </c>
      <c r="T23" s="226">
        <f>T22*1.5</f>
        <v>6</v>
      </c>
      <c r="U23" s="226">
        <f>Q23+R23+S23</f>
        <v>25.83</v>
      </c>
      <c r="W23" s="159" t="str">
        <f>W22</f>
        <v>0..53</v>
      </c>
      <c r="Z23" s="192" t="s">
        <v>254</v>
      </c>
      <c r="AA23" s="334">
        <v>4</v>
      </c>
    </row>
    <row r="24" spans="1:28">
      <c r="A24" s="85">
        <v>1963</v>
      </c>
      <c r="B24" s="78" t="s">
        <v>406</v>
      </c>
      <c r="E24" s="77"/>
      <c r="F24" s="274"/>
      <c r="G24" s="80"/>
      <c r="H24" s="79"/>
      <c r="I24" s="79"/>
      <c r="J24" s="158"/>
      <c r="K24" s="156"/>
      <c r="Q24" s="226"/>
      <c r="R24" s="226"/>
      <c r="W24" s="159"/>
    </row>
    <row r="25" spans="1:28">
      <c r="A25" s="85" t="s">
        <v>47</v>
      </c>
      <c r="B25" s="158"/>
      <c r="E25" s="77"/>
      <c r="F25" s="274"/>
      <c r="G25" s="64" t="s">
        <v>75</v>
      </c>
      <c r="H25" s="79"/>
      <c r="I25" s="79"/>
      <c r="J25" s="158"/>
      <c r="K25" s="156"/>
      <c r="Q25" s="226"/>
      <c r="R25" s="226"/>
      <c r="W25" s="159"/>
    </row>
    <row r="26" spans="1:28">
      <c r="A26" s="85"/>
      <c r="B26" s="158"/>
      <c r="E26" s="77"/>
      <c r="F26" s="274"/>
      <c r="G26" s="64"/>
      <c r="H26" s="79"/>
      <c r="I26" s="79"/>
      <c r="J26" s="158"/>
      <c r="K26" s="156"/>
      <c r="Q26" s="226"/>
      <c r="R26" s="226"/>
      <c r="W26" s="159"/>
    </row>
    <row r="27" spans="1:28">
      <c r="A27" s="85"/>
      <c r="B27" s="158"/>
      <c r="E27" s="77"/>
      <c r="F27" s="274"/>
      <c r="G27" s="64" t="s">
        <v>175</v>
      </c>
      <c r="H27" s="79"/>
      <c r="I27" s="79"/>
      <c r="J27" s="158"/>
      <c r="K27" s="156"/>
      <c r="Q27" s="226"/>
      <c r="R27" s="226"/>
      <c r="W27" s="159"/>
    </row>
    <row r="28" spans="1:28">
      <c r="A28" s="85"/>
      <c r="B28" s="158"/>
      <c r="E28" s="77"/>
      <c r="F28" s="274"/>
      <c r="G28" s="64" t="str">
        <f>"These deductions do not pyramid. (I.e., the rates remain the same: "&amp;TEXT($AA$13,"$#.00")&amp;" per hour vacation and "&amp;TEXT($AA$14,"$#.00")&amp;" per hour dues are deducted and sent to the funds for all hours worked,"</f>
        <v>These deductions do not pyramid. (I.e., the rates remain the same: $1.70 per hour vacation and $1.97 per hour dues are deducted and sent to the funds for all hours worked,</v>
      </c>
      <c r="H28" s="79"/>
      <c r="I28" s="79"/>
      <c r="J28" s="158"/>
      <c r="K28" s="156"/>
      <c r="Q28" s="226"/>
      <c r="R28" s="226"/>
      <c r="W28" s="159"/>
    </row>
    <row r="29" spans="1:28">
      <c r="A29" s="85"/>
      <c r="B29" s="158"/>
      <c r="E29" s="77"/>
      <c r="F29" s="274"/>
      <c r="G29" s="64" t="s">
        <v>190</v>
      </c>
      <c r="H29" s="79"/>
      <c r="I29" s="79"/>
      <c r="J29" s="158"/>
      <c r="K29" s="156"/>
      <c r="Q29" s="226"/>
      <c r="R29" s="226"/>
      <c r="W29" s="159"/>
    </row>
    <row r="30" spans="1:28">
      <c r="A30" s="85"/>
      <c r="B30" s="158"/>
      <c r="E30" s="77"/>
      <c r="F30" s="274"/>
      <c r="G30" s="64"/>
      <c r="H30" s="79"/>
      <c r="I30" s="79"/>
      <c r="J30" s="158"/>
      <c r="K30" s="156"/>
      <c r="Q30" s="226"/>
      <c r="R30" s="226"/>
      <c r="W30" s="159"/>
    </row>
    <row r="31" spans="1:28">
      <c r="A31" s="85"/>
      <c r="B31" s="158"/>
      <c r="E31" s="77"/>
      <c r="F31" s="274"/>
      <c r="G31" s="64" t="s">
        <v>87</v>
      </c>
      <c r="H31" s="79"/>
      <c r="I31" s="79"/>
      <c r="J31" s="158"/>
      <c r="K31" s="156"/>
      <c r="Q31" s="226"/>
      <c r="R31" s="226"/>
      <c r="W31" s="159"/>
    </row>
    <row r="32" spans="1:28">
      <c r="A32" s="85"/>
      <c r="B32" s="158"/>
      <c r="E32" s="77"/>
      <c r="F32" s="274"/>
      <c r="G32" s="64"/>
      <c r="H32" s="79"/>
      <c r="I32" s="79"/>
      <c r="J32" s="158"/>
      <c r="K32" s="156"/>
      <c r="Q32" s="226"/>
      <c r="R32" s="226"/>
      <c r="W32" s="159"/>
    </row>
    <row r="33" spans="1:30">
      <c r="A33" s="85"/>
      <c r="B33" s="158"/>
      <c r="E33" s="77"/>
      <c r="F33" s="274"/>
      <c r="G33" s="64" t="s">
        <v>176</v>
      </c>
      <c r="H33" s="79"/>
      <c r="I33" s="79"/>
      <c r="J33" s="158"/>
      <c r="K33" s="156"/>
      <c r="Q33" s="226"/>
      <c r="R33" s="226"/>
      <c r="W33" s="159"/>
    </row>
    <row r="34" spans="1:30">
      <c r="A34" s="85"/>
      <c r="B34" s="158"/>
      <c r="E34" s="77"/>
      <c r="F34" s="274"/>
      <c r="G34" s="105" t="s">
        <v>412</v>
      </c>
      <c r="H34" s="79"/>
      <c r="I34" s="79"/>
      <c r="J34" s="158"/>
      <c r="K34" s="156"/>
      <c r="Q34" s="226"/>
      <c r="R34" s="226"/>
      <c r="W34" s="159"/>
    </row>
    <row r="35" spans="1:30">
      <c r="A35" s="164"/>
      <c r="B35" s="157"/>
      <c r="C35" s="95"/>
      <c r="D35" s="149"/>
      <c r="E35" s="101"/>
      <c r="F35" s="291"/>
      <c r="G35" s="157"/>
      <c r="H35" s="44"/>
      <c r="I35" s="44"/>
      <c r="J35" s="102"/>
      <c r="K35" s="97"/>
      <c r="L35" s="232"/>
      <c r="M35" s="232"/>
      <c r="N35" s="232"/>
      <c r="O35" s="232"/>
      <c r="P35" s="232"/>
      <c r="Q35" s="192"/>
      <c r="R35" s="192"/>
      <c r="S35" s="234"/>
      <c r="T35" s="234"/>
      <c r="U35" s="232"/>
      <c r="V35" s="232"/>
      <c r="W35" s="103"/>
      <c r="X35" s="104"/>
      <c r="Y35" s="104"/>
    </row>
    <row r="36" spans="1:30" ht="30">
      <c r="A36" s="83" t="s">
        <v>59</v>
      </c>
      <c r="B36" s="160" t="s">
        <v>56</v>
      </c>
      <c r="C36" s="158" t="s">
        <v>57</v>
      </c>
      <c r="E36" s="83" t="s">
        <v>58</v>
      </c>
      <c r="F36" s="289" t="s">
        <v>60</v>
      </c>
      <c r="G36" s="78"/>
      <c r="H36" s="79"/>
      <c r="I36" s="79"/>
      <c r="J36" s="160" t="s">
        <v>0</v>
      </c>
      <c r="K36" s="82"/>
      <c r="L36" s="263" t="s">
        <v>68</v>
      </c>
      <c r="M36" s="263" t="s">
        <v>42</v>
      </c>
      <c r="N36" s="263" t="s">
        <v>43</v>
      </c>
      <c r="O36" s="263" t="s">
        <v>85</v>
      </c>
      <c r="P36" s="263" t="s">
        <v>86</v>
      </c>
      <c r="Q36" s="263" t="s">
        <v>358</v>
      </c>
      <c r="R36" s="163" t="s">
        <v>276</v>
      </c>
      <c r="S36" s="163" t="s">
        <v>31</v>
      </c>
      <c r="T36" s="163" t="s">
        <v>44</v>
      </c>
      <c r="U36" s="263" t="s">
        <v>33</v>
      </c>
      <c r="V36" s="263" t="s">
        <v>73</v>
      </c>
      <c r="W36" s="159" t="s">
        <v>39</v>
      </c>
      <c r="AD36" s="190"/>
    </row>
    <row r="37" spans="1:30" ht="18.75">
      <c r="A37" s="241"/>
      <c r="B37" s="165" t="s">
        <v>1</v>
      </c>
      <c r="C37" s="166">
        <v>2</v>
      </c>
      <c r="D37" s="166"/>
      <c r="E37" s="152" t="s">
        <v>5</v>
      </c>
      <c r="F37" s="292" t="s">
        <v>114</v>
      </c>
      <c r="G37" s="167" t="s">
        <v>98</v>
      </c>
      <c r="H37" s="168">
        <v>285</v>
      </c>
      <c r="I37" s="168">
        <v>6</v>
      </c>
      <c r="J37" s="165" t="s">
        <v>2</v>
      </c>
      <c r="K37" s="169" t="s">
        <v>34</v>
      </c>
      <c r="L37" s="309">
        <f>AA37</f>
        <v>48.54</v>
      </c>
      <c r="M37" s="235">
        <f>L37+O37+P37</f>
        <v>49.15</v>
      </c>
      <c r="N37" s="235">
        <f>L37+O37</f>
        <v>47.21</v>
      </c>
      <c r="O37" s="235">
        <f>-AA38</f>
        <v>-1.33</v>
      </c>
      <c r="P37" s="235">
        <f>AA39</f>
        <v>1.94</v>
      </c>
      <c r="Q37" s="235">
        <f>AA40</f>
        <v>14.68</v>
      </c>
      <c r="R37" s="235">
        <f>AA41+AA44</f>
        <v>13.32</v>
      </c>
      <c r="S37" s="235">
        <f>AA43</f>
        <v>0.84</v>
      </c>
      <c r="T37" s="235"/>
      <c r="U37" s="235">
        <f>Q37+R37+S37</f>
        <v>28.84</v>
      </c>
      <c r="V37" s="235">
        <f>L37+U37</f>
        <v>77.38</v>
      </c>
      <c r="W37" s="170">
        <v>0.04</v>
      </c>
      <c r="X37" s="171"/>
      <c r="Z37" s="192" t="s">
        <v>278</v>
      </c>
      <c r="AA37" s="306">
        <v>48.54</v>
      </c>
      <c r="AB37" s="149" t="s">
        <v>304</v>
      </c>
      <c r="AC37" s="223">
        <f>AA37+AA40+AA41+AA42+AA43+AA44+AA45</f>
        <v>78.400000000000006</v>
      </c>
      <c r="AD37" s="149" t="s">
        <v>327</v>
      </c>
    </row>
    <row r="38" spans="1:30">
      <c r="B38" s="310" t="s">
        <v>389</v>
      </c>
      <c r="E38" s="77"/>
      <c r="F38" s="274"/>
      <c r="G38" s="146"/>
      <c r="H38" s="79"/>
      <c r="I38" s="79"/>
      <c r="J38" s="158"/>
      <c r="K38" s="156" t="s">
        <v>32</v>
      </c>
      <c r="L38" s="226">
        <f>L37*1.5</f>
        <v>72.81</v>
      </c>
      <c r="M38" s="232">
        <f>M37*1.5</f>
        <v>73.724999999999994</v>
      </c>
      <c r="N38" s="232">
        <f>N37*1.5</f>
        <v>70.814999999999998</v>
      </c>
      <c r="O38" s="232">
        <f>O37</f>
        <v>-1.33</v>
      </c>
      <c r="P38" s="232">
        <f>P37</f>
        <v>1.94</v>
      </c>
      <c r="Q38" s="232">
        <f>Q37</f>
        <v>14.68</v>
      </c>
      <c r="R38" s="232">
        <f>R37</f>
        <v>13.32</v>
      </c>
      <c r="S38" s="232">
        <f>S37</f>
        <v>0.84</v>
      </c>
      <c r="U38" s="226">
        <f>Q38+R38+S38</f>
        <v>28.84</v>
      </c>
      <c r="W38" s="159">
        <f>W37</f>
        <v>0.04</v>
      </c>
      <c r="Z38" s="192" t="s">
        <v>267</v>
      </c>
      <c r="AA38" s="306">
        <v>1.33</v>
      </c>
      <c r="AD38" s="190"/>
    </row>
    <row r="39" spans="1:30">
      <c r="B39" s="158"/>
      <c r="E39" s="77"/>
      <c r="F39" s="274"/>
      <c r="H39" s="79"/>
      <c r="I39" s="79"/>
      <c r="J39" s="158"/>
      <c r="K39" s="156"/>
      <c r="Q39" s="226"/>
      <c r="R39" s="226"/>
      <c r="W39" s="159"/>
      <c r="Z39" s="192" t="s">
        <v>28</v>
      </c>
      <c r="AA39" s="306">
        <v>1.94</v>
      </c>
      <c r="AD39" s="190"/>
    </row>
    <row r="40" spans="1:30">
      <c r="A40" s="85">
        <v>1964</v>
      </c>
      <c r="B40" s="158"/>
      <c r="E40" s="77"/>
      <c r="F40" s="274"/>
      <c r="G40" s="64" t="str">
        <f>"Provided that when a Carpenter is working with material that has been treated with carbolineum or creosote, he/she shall be paid an additional "&amp;TEXT(AA46,"$0.00")&amp;" per hour."</f>
        <v>Provided that when a Carpenter is working with material that has been treated with carbolineum or creosote, he/she shall be paid an additional $0.75 per hour.</v>
      </c>
      <c r="H40" s="79"/>
      <c r="I40" s="79"/>
      <c r="J40" s="158"/>
      <c r="K40" s="156"/>
      <c r="L40" s="233"/>
      <c r="M40" s="233"/>
      <c r="N40" s="233"/>
      <c r="Z40" s="192" t="s">
        <v>359</v>
      </c>
      <c r="AA40" s="306">
        <f>12.38+2.3</f>
        <v>14.68</v>
      </c>
      <c r="AD40" s="190"/>
    </row>
    <row r="41" spans="1:30">
      <c r="B41" s="158"/>
      <c r="E41" s="77"/>
      <c r="F41" s="274"/>
      <c r="G41" s="64"/>
      <c r="H41" s="79"/>
      <c r="I41" s="79"/>
      <c r="J41" s="158"/>
      <c r="K41" s="156"/>
      <c r="L41" s="233"/>
      <c r="M41" s="233"/>
      <c r="N41" s="233"/>
      <c r="S41" s="233"/>
      <c r="T41" s="233"/>
      <c r="W41" s="100"/>
      <c r="X41" s="150"/>
      <c r="Y41" s="104"/>
      <c r="Z41" s="192" t="s">
        <v>276</v>
      </c>
      <c r="AA41" s="306">
        <v>13.17</v>
      </c>
      <c r="AD41" s="190"/>
    </row>
    <row r="42" spans="1:30">
      <c r="B42" s="158"/>
      <c r="E42" s="77"/>
      <c r="F42" s="274"/>
      <c r="G42" s="64" t="str">
        <f>"Provided that working dues deduction of "&amp;TEXT($AA$39,"$#,###.00")&amp;" per hour for all hours worked and vacation deduction of "&amp;TEXT($AA$38,"$#,###.00")&amp;" per hour for all hours worked shall be deducted"</f>
        <v>Provided that working dues deduction of $1.94 per hour for all hours worked and vacation deduction of $1.33 per hour for all hours worked shall be deducted</v>
      </c>
      <c r="H42" s="79"/>
      <c r="I42" s="79"/>
      <c r="J42" s="158"/>
      <c r="K42" s="156"/>
      <c r="L42" s="237"/>
      <c r="M42" s="233"/>
      <c r="N42" s="233"/>
      <c r="O42" s="238"/>
      <c r="S42" s="233"/>
      <c r="T42" s="233"/>
      <c r="W42" s="100"/>
      <c r="X42" s="150"/>
      <c r="Y42" s="104"/>
      <c r="Z42" s="192" t="s">
        <v>371</v>
      </c>
      <c r="AA42" s="307">
        <v>1</v>
      </c>
      <c r="AB42" s="149" t="s">
        <v>372</v>
      </c>
      <c r="AD42" s="190"/>
    </row>
    <row r="43" spans="1:30">
      <c r="A43" s="164"/>
      <c r="B43" s="95"/>
      <c r="C43" s="95"/>
      <c r="D43" s="149"/>
      <c r="E43" s="96"/>
      <c r="F43" s="291"/>
      <c r="G43" s="105" t="s">
        <v>178</v>
      </c>
      <c r="H43" s="44"/>
      <c r="I43" s="44"/>
      <c r="J43" s="95"/>
      <c r="K43" s="97"/>
      <c r="L43" s="234"/>
      <c r="M43" s="234"/>
      <c r="N43" s="234"/>
      <c r="O43" s="232"/>
      <c r="P43" s="232"/>
      <c r="Q43" s="192"/>
      <c r="R43" s="192"/>
      <c r="S43" s="234"/>
      <c r="T43" s="234"/>
      <c r="U43" s="232"/>
      <c r="V43" s="232"/>
      <c r="W43" s="103"/>
      <c r="X43" s="104"/>
      <c r="Y43" s="104"/>
      <c r="Z43" s="192" t="s">
        <v>31</v>
      </c>
      <c r="AA43" s="306">
        <v>0.84</v>
      </c>
      <c r="AD43" s="190"/>
    </row>
    <row r="44" spans="1:30">
      <c r="A44" s="164"/>
      <c r="B44" s="95"/>
      <c r="C44" s="95"/>
      <c r="D44" s="149"/>
      <c r="E44" s="96"/>
      <c r="F44" s="291"/>
      <c r="G44" s="105"/>
      <c r="H44" s="44"/>
      <c r="I44" s="44"/>
      <c r="J44" s="95"/>
      <c r="K44" s="97"/>
      <c r="L44" s="234"/>
      <c r="M44" s="234"/>
      <c r="N44" s="234"/>
      <c r="O44" s="232"/>
      <c r="P44" s="232"/>
      <c r="Q44" s="192"/>
      <c r="R44" s="192"/>
      <c r="S44" s="234"/>
      <c r="T44" s="234"/>
      <c r="U44" s="232"/>
      <c r="V44" s="232"/>
      <c r="W44" s="103"/>
      <c r="X44" s="104"/>
      <c r="Y44" s="104"/>
      <c r="Z44" s="192" t="s">
        <v>305</v>
      </c>
      <c r="AA44" s="306">
        <v>0.15</v>
      </c>
      <c r="AD44" s="190"/>
    </row>
    <row r="45" spans="1:30">
      <c r="A45" s="164"/>
      <c r="B45" s="95"/>
      <c r="C45" s="95"/>
      <c r="D45" s="149"/>
      <c r="E45" s="96"/>
      <c r="F45" s="291"/>
      <c r="G45" s="105" t="s">
        <v>413</v>
      </c>
      <c r="H45" s="44"/>
      <c r="I45" s="44"/>
      <c r="J45" s="95"/>
      <c r="K45" s="97"/>
      <c r="L45" s="234"/>
      <c r="M45" s="234"/>
      <c r="N45" s="234"/>
      <c r="O45" s="232"/>
      <c r="P45" s="232"/>
      <c r="Q45" s="192"/>
      <c r="R45" s="192"/>
      <c r="S45" s="234"/>
      <c r="T45" s="234"/>
      <c r="U45" s="232"/>
      <c r="V45" s="232"/>
      <c r="W45" s="103"/>
      <c r="X45" s="104"/>
      <c r="Y45" s="104"/>
      <c r="Z45" s="192" t="s">
        <v>277</v>
      </c>
      <c r="AA45" s="307">
        <v>0.02</v>
      </c>
      <c r="AB45" s="149" t="s">
        <v>372</v>
      </c>
      <c r="AD45" s="190"/>
    </row>
    <row r="46" spans="1:30">
      <c r="A46" s="86"/>
      <c r="B46" s="87"/>
      <c r="C46" s="87"/>
      <c r="D46" s="88"/>
      <c r="E46" s="89"/>
      <c r="F46" s="290"/>
      <c r="G46" s="90"/>
      <c r="H46" s="91"/>
      <c r="I46" s="91"/>
      <c r="J46" s="87"/>
      <c r="K46" s="92"/>
      <c r="L46" s="239"/>
      <c r="M46" s="239"/>
      <c r="N46" s="239"/>
      <c r="O46" s="231"/>
      <c r="P46" s="231"/>
      <c r="Q46" s="202"/>
      <c r="R46" s="202"/>
      <c r="S46" s="239"/>
      <c r="T46" s="239"/>
      <c r="U46" s="231"/>
      <c r="V46" s="231"/>
      <c r="W46" s="106"/>
      <c r="X46" s="107"/>
      <c r="Y46" s="104"/>
      <c r="Z46" s="192" t="s">
        <v>360</v>
      </c>
      <c r="AA46" s="264">
        <v>0.75</v>
      </c>
      <c r="AB46" s="149" t="s">
        <v>367</v>
      </c>
    </row>
    <row r="47" spans="1:30">
      <c r="A47" s="164"/>
      <c r="B47" s="310" t="str">
        <f>B38</f>
        <v xml:space="preserve"> (effective May 5, 2025)</v>
      </c>
      <c r="E47" s="77"/>
      <c r="F47" s="274"/>
      <c r="G47" s="157"/>
      <c r="H47" s="44"/>
      <c r="I47" s="44"/>
      <c r="J47" s="95"/>
      <c r="K47" s="97"/>
      <c r="L47" s="234"/>
      <c r="M47" s="234"/>
      <c r="N47" s="234"/>
      <c r="O47" s="232"/>
      <c r="P47" s="232"/>
      <c r="Q47" s="192"/>
      <c r="R47" s="192"/>
      <c r="S47" s="234"/>
      <c r="T47" s="234"/>
      <c r="U47" s="232"/>
      <c r="V47" s="232"/>
      <c r="W47" s="103"/>
      <c r="X47" s="104"/>
      <c r="Y47" s="104"/>
    </row>
    <row r="48" spans="1:30" ht="18.75">
      <c r="B48" s="160" t="s">
        <v>1</v>
      </c>
      <c r="C48" s="158">
        <v>2</v>
      </c>
      <c r="E48" s="161" t="s">
        <v>6</v>
      </c>
      <c r="F48" s="274">
        <v>17</v>
      </c>
      <c r="G48" s="302" t="s">
        <v>100</v>
      </c>
      <c r="H48" s="162">
        <v>363</v>
      </c>
      <c r="I48" s="162">
        <v>8</v>
      </c>
      <c r="J48" s="160" t="s">
        <v>2</v>
      </c>
      <c r="K48" s="156" t="s">
        <v>34</v>
      </c>
      <c r="L48" s="316">
        <f>AA48</f>
        <v>52.04</v>
      </c>
      <c r="M48" s="226">
        <f>L48+O48+P48</f>
        <v>52.65</v>
      </c>
      <c r="N48" s="226">
        <f>L48+O48</f>
        <v>50.71</v>
      </c>
      <c r="O48" s="226">
        <f>O37</f>
        <v>-1.33</v>
      </c>
      <c r="P48" s="232">
        <f>P38</f>
        <v>1.94</v>
      </c>
      <c r="Q48" s="232">
        <f>Q38</f>
        <v>14.68</v>
      </c>
      <c r="R48" s="232">
        <f>R38</f>
        <v>13.32</v>
      </c>
      <c r="S48" s="226">
        <f>S38</f>
        <v>0.84</v>
      </c>
      <c r="T48" s="226">
        <f>AA49</f>
        <v>3.5</v>
      </c>
      <c r="U48" s="226">
        <f>Q48+R48+S48</f>
        <v>28.84</v>
      </c>
      <c r="V48" s="226">
        <f>L48+U48</f>
        <v>80.88</v>
      </c>
      <c r="W48" s="159">
        <v>0.04</v>
      </c>
      <c r="Z48" s="192" t="s">
        <v>278</v>
      </c>
      <c r="AA48" s="306">
        <v>52.04</v>
      </c>
      <c r="AB48" s="201"/>
      <c r="AC48" s="223">
        <f>AA48+SUM(AA40:AA45)</f>
        <v>81.900000000000006</v>
      </c>
      <c r="AD48" s="149" t="s">
        <v>327</v>
      </c>
    </row>
    <row r="49" spans="1:30">
      <c r="A49" s="164"/>
      <c r="B49" s="84"/>
      <c r="E49" s="161"/>
      <c r="F49" s="274"/>
      <c r="G49" s="147"/>
      <c r="H49" s="162"/>
      <c r="I49" s="162"/>
      <c r="J49" s="160"/>
      <c r="K49" s="156" t="s">
        <v>32</v>
      </c>
      <c r="L49" s="226">
        <f>L48*1.5</f>
        <v>78.06</v>
      </c>
      <c r="M49" s="226">
        <f>M48*1.5</f>
        <v>78.974999999999994</v>
      </c>
      <c r="N49" s="226">
        <f>N48*1.5</f>
        <v>76.064999999999998</v>
      </c>
      <c r="O49" s="226">
        <f>O38</f>
        <v>-1.33</v>
      </c>
      <c r="P49" s="259">
        <f>P48</f>
        <v>1.94</v>
      </c>
      <c r="Q49" s="232">
        <f>Q48</f>
        <v>14.68</v>
      </c>
      <c r="R49" s="226">
        <f>R48</f>
        <v>13.32</v>
      </c>
      <c r="S49" s="226">
        <f>S48</f>
        <v>0.84</v>
      </c>
      <c r="U49" s="226">
        <f>Q49+R49+S49</f>
        <v>28.84</v>
      </c>
      <c r="W49" s="159">
        <f>W48</f>
        <v>0.04</v>
      </c>
      <c r="X49" s="150"/>
      <c r="Y49" s="104"/>
      <c r="Z49" s="192" t="s">
        <v>279</v>
      </c>
      <c r="AA49" s="223">
        <f>AA48-AA37</f>
        <v>3.5</v>
      </c>
      <c r="AB49" s="201"/>
    </row>
    <row r="50" spans="1:30">
      <c r="A50" s="85">
        <v>1964</v>
      </c>
      <c r="B50" s="160"/>
      <c r="E50" s="161"/>
      <c r="F50" s="274"/>
      <c r="G50" s="80"/>
      <c r="H50" s="162"/>
      <c r="I50" s="162"/>
      <c r="J50" s="160"/>
      <c r="K50" s="156"/>
      <c r="Q50" s="226"/>
      <c r="R50" s="226"/>
      <c r="W50" s="159"/>
      <c r="X50" s="150"/>
      <c r="Y50" s="104"/>
    </row>
    <row r="51" spans="1:30">
      <c r="A51" s="85">
        <v>1964</v>
      </c>
      <c r="B51" s="158"/>
      <c r="E51" s="77"/>
      <c r="F51" s="274"/>
      <c r="G51" s="64" t="str">
        <f>G40</f>
        <v>Provided that when a Carpenter is working with material that has been treated with carbolineum or creosote, he/she shall be paid an additional $0.75 per hour.</v>
      </c>
      <c r="H51" s="79"/>
      <c r="I51" s="79"/>
      <c r="J51" s="158"/>
      <c r="K51" s="156"/>
      <c r="L51" s="233"/>
      <c r="M51" s="233"/>
      <c r="N51" s="233"/>
    </row>
    <row r="52" spans="1:30">
      <c r="A52" s="85"/>
      <c r="B52" s="154"/>
      <c r="E52" s="77"/>
      <c r="F52" s="274"/>
      <c r="G52" s="64"/>
      <c r="H52" s="79"/>
      <c r="I52" s="79"/>
      <c r="J52" s="158"/>
      <c r="K52" s="156"/>
      <c r="L52" s="233"/>
      <c r="M52" s="233"/>
      <c r="N52" s="233"/>
      <c r="S52" s="233"/>
      <c r="T52" s="233"/>
      <c r="W52" s="100"/>
      <c r="X52" s="150"/>
      <c r="Y52" s="104"/>
    </row>
    <row r="53" spans="1:30">
      <c r="B53" s="158"/>
      <c r="E53" s="77"/>
      <c r="F53" s="274"/>
      <c r="G53" s="64" t="str">
        <f>G42</f>
        <v>Provided that working dues deduction of $1.94 per hour for all hours worked and vacation deduction of $1.33 per hour for all hours worked shall be deducted</v>
      </c>
      <c r="H53" s="79"/>
      <c r="I53" s="79"/>
      <c r="J53" s="158"/>
      <c r="K53" s="156"/>
      <c r="L53" s="233"/>
      <c r="M53" s="233"/>
      <c r="N53" s="233"/>
      <c r="S53" s="233"/>
      <c r="T53" s="233"/>
      <c r="W53" s="100"/>
      <c r="X53" s="150"/>
      <c r="Y53" s="104"/>
    </row>
    <row r="54" spans="1:30">
      <c r="B54" s="158"/>
      <c r="E54" s="77"/>
      <c r="F54" s="274"/>
      <c r="G54" s="64" t="s">
        <v>178</v>
      </c>
      <c r="H54" s="79"/>
      <c r="I54" s="79"/>
      <c r="J54" s="158"/>
      <c r="K54" s="156"/>
      <c r="L54" s="233"/>
      <c r="M54" s="233"/>
      <c r="N54" s="233"/>
      <c r="S54" s="233"/>
      <c r="T54" s="233"/>
      <c r="W54" s="100"/>
      <c r="X54" s="150"/>
      <c r="Y54" s="104"/>
    </row>
    <row r="55" spans="1:30">
      <c r="A55" s="164"/>
      <c r="B55" s="95"/>
      <c r="C55" s="95"/>
      <c r="D55" s="149"/>
      <c r="E55" s="96"/>
      <c r="F55" s="291"/>
      <c r="G55" s="105"/>
      <c r="H55" s="44"/>
      <c r="I55" s="44"/>
      <c r="J55" s="95"/>
      <c r="K55" s="97"/>
      <c r="L55" s="234"/>
      <c r="M55" s="234"/>
      <c r="N55" s="234"/>
      <c r="O55" s="232"/>
      <c r="P55" s="232"/>
      <c r="Q55" s="192"/>
      <c r="R55" s="192"/>
      <c r="S55" s="234"/>
      <c r="T55" s="234"/>
      <c r="U55" s="232"/>
      <c r="V55" s="232"/>
      <c r="W55" s="103"/>
      <c r="X55" s="104"/>
      <c r="Y55" s="104"/>
    </row>
    <row r="56" spans="1:30">
      <c r="A56" s="164"/>
      <c r="B56" s="95"/>
      <c r="C56" s="95"/>
      <c r="D56" s="149"/>
      <c r="E56" s="96"/>
      <c r="F56" s="291"/>
      <c r="G56" s="105" t="s">
        <v>413</v>
      </c>
      <c r="H56" s="44"/>
      <c r="I56" s="44"/>
      <c r="J56" s="95"/>
      <c r="K56" s="97"/>
      <c r="L56" s="234"/>
      <c r="M56" s="234"/>
      <c r="N56" s="234"/>
      <c r="O56" s="232"/>
      <c r="P56" s="232"/>
      <c r="Q56" s="192"/>
      <c r="R56" s="192"/>
      <c r="S56" s="234"/>
      <c r="T56" s="234"/>
      <c r="U56" s="232"/>
      <c r="V56" s="232"/>
      <c r="W56" s="103"/>
      <c r="X56" s="104"/>
      <c r="Y56" s="104"/>
    </row>
    <row r="57" spans="1:30">
      <c r="A57" s="164"/>
      <c r="B57" s="164"/>
      <c r="C57" s="95"/>
      <c r="D57" s="95"/>
      <c r="E57" s="109"/>
      <c r="F57" s="293"/>
      <c r="G57" s="105"/>
      <c r="H57" s="149"/>
      <c r="I57" s="149"/>
      <c r="J57" s="164"/>
      <c r="K57" s="164"/>
      <c r="L57" s="232"/>
      <c r="M57" s="232"/>
      <c r="N57" s="232"/>
      <c r="O57" s="232"/>
      <c r="P57" s="231"/>
      <c r="Q57" s="192"/>
      <c r="R57" s="192"/>
      <c r="S57" s="232"/>
      <c r="T57" s="232"/>
      <c r="U57" s="232"/>
      <c r="V57" s="232"/>
      <c r="W57" s="99"/>
      <c r="X57" s="149"/>
      <c r="AD57" s="200">
        <f>AA58</f>
        <v>46.35</v>
      </c>
    </row>
    <row r="58" spans="1:30" ht="18.75">
      <c r="A58" s="241"/>
      <c r="B58" s="165" t="s">
        <v>1</v>
      </c>
      <c r="C58" s="166">
        <v>2</v>
      </c>
      <c r="D58" s="166"/>
      <c r="E58" s="152" t="s">
        <v>7</v>
      </c>
      <c r="F58" s="292">
        <v>18</v>
      </c>
      <c r="G58" s="167" t="s">
        <v>97</v>
      </c>
      <c r="H58" s="168">
        <v>265</v>
      </c>
      <c r="I58" s="168">
        <v>5</v>
      </c>
      <c r="J58" s="165" t="s">
        <v>2</v>
      </c>
      <c r="K58" s="169" t="s">
        <v>34</v>
      </c>
      <c r="L58" s="309">
        <f>AA58</f>
        <v>46.35</v>
      </c>
      <c r="M58" s="235">
        <f>L58+O58+P58</f>
        <v>45.124000000000002</v>
      </c>
      <c r="N58" s="235">
        <f>L58+O58</f>
        <v>43.1</v>
      </c>
      <c r="O58" s="235">
        <f>-AA66</f>
        <v>-3.25</v>
      </c>
      <c r="P58" s="232">
        <f>(AA58*AB67)+AA68</f>
        <v>2.024</v>
      </c>
      <c r="Q58" s="235">
        <f>AA60</f>
        <v>12.03</v>
      </c>
      <c r="R58" s="235">
        <f>AA59+AA61</f>
        <v>23.75</v>
      </c>
      <c r="S58" s="235">
        <f>AA62</f>
        <v>1.08</v>
      </c>
      <c r="T58" s="235"/>
      <c r="U58" s="235">
        <f>Q58+R58+S58</f>
        <v>36.86</v>
      </c>
      <c r="V58" s="235">
        <f>L58+U58</f>
        <v>83.210000000000008</v>
      </c>
      <c r="W58" s="170">
        <v>0.17</v>
      </c>
      <c r="X58" s="171"/>
      <c r="Z58" s="192" t="s">
        <v>280</v>
      </c>
      <c r="AA58" s="306">
        <v>46.35</v>
      </c>
      <c r="AC58" s="190"/>
      <c r="AD58" s="200">
        <f>AA59</f>
        <v>9.75</v>
      </c>
    </row>
    <row r="59" spans="1:30">
      <c r="B59" s="305" t="s">
        <v>386</v>
      </c>
      <c r="E59" s="161"/>
      <c r="F59" s="274"/>
      <c r="H59" s="162"/>
      <c r="I59" s="162"/>
      <c r="J59" s="160"/>
      <c r="K59" s="163" t="s">
        <v>32</v>
      </c>
      <c r="L59" s="226">
        <f>L58*1.5</f>
        <v>69.525000000000006</v>
      </c>
      <c r="M59" s="232">
        <f>M58*1.5</f>
        <v>67.686000000000007</v>
      </c>
      <c r="N59" s="232">
        <f>N58*1.5</f>
        <v>64.650000000000006</v>
      </c>
      <c r="O59" s="232">
        <f>O58</f>
        <v>-3.25</v>
      </c>
      <c r="P59" s="232">
        <f>(AA58*1.5*AB67)+AA68</f>
        <v>2.9510000000000001</v>
      </c>
      <c r="Q59" s="232">
        <f>Q58</f>
        <v>12.03</v>
      </c>
      <c r="R59" s="232">
        <f>R58</f>
        <v>23.75</v>
      </c>
      <c r="S59" s="232">
        <f>S58</f>
        <v>1.08</v>
      </c>
      <c r="U59" s="226">
        <f>Q59+R59+S59</f>
        <v>36.86</v>
      </c>
      <c r="W59" s="159">
        <f>W58</f>
        <v>0.17</v>
      </c>
      <c r="Z59" s="192" t="s">
        <v>246</v>
      </c>
      <c r="AA59" s="306">
        <v>9.75</v>
      </c>
      <c r="AD59" s="200">
        <f t="shared" ref="AD59:AD61" si="0">AA60</f>
        <v>12.03</v>
      </c>
    </row>
    <row r="60" spans="1:30">
      <c r="A60" s="80"/>
      <c r="B60" s="80"/>
      <c r="E60" s="161"/>
      <c r="F60" s="274"/>
      <c r="H60" s="162"/>
      <c r="I60" s="162"/>
      <c r="J60" s="160"/>
      <c r="K60" s="163"/>
      <c r="Q60" s="226"/>
      <c r="R60" s="226"/>
      <c r="W60" s="159"/>
      <c r="Z60" s="192" t="s">
        <v>284</v>
      </c>
      <c r="AA60" s="306">
        <v>12.03</v>
      </c>
      <c r="AD60" s="200">
        <f t="shared" si="0"/>
        <v>14</v>
      </c>
    </row>
    <row r="61" spans="1:30">
      <c r="B61" s="160"/>
      <c r="E61" s="161"/>
      <c r="F61" s="274"/>
      <c r="G61" s="64" t="s">
        <v>89</v>
      </c>
      <c r="H61" s="162"/>
      <c r="I61" s="162"/>
      <c r="J61" s="160"/>
      <c r="K61" s="163"/>
      <c r="Q61" s="226"/>
      <c r="R61" s="226"/>
      <c r="W61" s="159"/>
      <c r="Z61" s="192" t="s">
        <v>247</v>
      </c>
      <c r="AA61" s="306">
        <v>14</v>
      </c>
      <c r="AD61" s="200">
        <f t="shared" si="0"/>
        <v>1.08</v>
      </c>
    </row>
    <row r="62" spans="1:30">
      <c r="B62" s="160"/>
      <c r="E62" s="161"/>
      <c r="F62" s="274"/>
      <c r="G62" s="64" t="s">
        <v>388</v>
      </c>
      <c r="H62" s="162"/>
      <c r="I62" s="162"/>
      <c r="J62" s="160"/>
      <c r="K62" s="163"/>
      <c r="Q62" s="226"/>
      <c r="R62" s="226"/>
      <c r="W62" s="159"/>
      <c r="Z62" s="192" t="s">
        <v>306</v>
      </c>
      <c r="AA62" s="306">
        <v>1.08</v>
      </c>
      <c r="AD62" s="197">
        <f>AA63</f>
        <v>1</v>
      </c>
    </row>
    <row r="63" spans="1:30">
      <c r="B63" s="160"/>
      <c r="E63" s="161"/>
      <c r="F63" s="274"/>
      <c r="H63" s="162"/>
      <c r="I63" s="162"/>
      <c r="J63" s="160"/>
      <c r="K63" s="163"/>
      <c r="Q63" s="226"/>
      <c r="R63" s="226"/>
      <c r="W63" s="159"/>
      <c r="Z63" s="192" t="s">
        <v>370</v>
      </c>
      <c r="AA63" s="307">
        <v>1</v>
      </c>
      <c r="AB63" s="149" t="s">
        <v>307</v>
      </c>
      <c r="AD63" s="200">
        <f>AA64</f>
        <v>0.3</v>
      </c>
    </row>
    <row r="64" spans="1:30">
      <c r="B64" s="160"/>
      <c r="E64" s="161"/>
      <c r="F64" s="274"/>
      <c r="H64" s="162"/>
      <c r="I64" s="162"/>
      <c r="J64" s="160"/>
      <c r="K64" s="163"/>
      <c r="Q64" s="226"/>
      <c r="R64" s="226"/>
      <c r="W64" s="159"/>
      <c r="Z64" s="192" t="s">
        <v>281</v>
      </c>
      <c r="AA64" s="307">
        <v>0.3</v>
      </c>
      <c r="AB64" s="149" t="s">
        <v>307</v>
      </c>
      <c r="AD64" s="203">
        <f>AA65</f>
        <v>0.02</v>
      </c>
    </row>
    <row r="65" spans="1:31">
      <c r="A65" s="85">
        <v>1965</v>
      </c>
      <c r="B65" s="160"/>
      <c r="E65" s="161"/>
      <c r="F65" s="274"/>
      <c r="G65" s="64" t="str">
        <f>"Provided that working dues deduction of "&amp;TEXT(AB67,"0.0% ")&amp;"of total gross pay plus "&amp;TEXT(AA68,"$.00")&amp;"/hour  on all taxable wages shall be deducted from the employees after tax"</f>
        <v>Provided that working dues deduction of 4.0% of total gross pay plus $.17/hour  on all taxable wages shall be deducted from the employees after tax</v>
      </c>
      <c r="H65" s="162"/>
      <c r="I65" s="162"/>
      <c r="J65" s="160"/>
      <c r="K65" s="156"/>
      <c r="Q65" s="226"/>
      <c r="R65" s="226"/>
      <c r="W65" s="159"/>
      <c r="X65" s="150"/>
      <c r="Y65" s="104"/>
      <c r="Z65" s="192" t="s">
        <v>387</v>
      </c>
      <c r="AA65" s="307">
        <v>0.02</v>
      </c>
      <c r="AB65" s="149" t="s">
        <v>307</v>
      </c>
      <c r="AD65" s="200">
        <f>SUM(AD57:AD64)</f>
        <v>84.529999999999987</v>
      </c>
      <c r="AE65" s="149" t="s">
        <v>311</v>
      </c>
    </row>
    <row r="66" spans="1:31">
      <c r="A66" s="85" t="s">
        <v>48</v>
      </c>
      <c r="B66" s="160"/>
      <c r="E66" s="161"/>
      <c r="F66" s="274"/>
      <c r="G66" s="64" t="str">
        <f>"earnings and be sent to union. ("&amp;TEXT(AB67,"0.0%" )&amp;" of total gross pay +  "&amp;TEXT(AA68,"$0.00") &amp;" per hour)"</f>
        <v>earnings and be sent to union. (4.0% of total gross pay +  $0.17 per hour)</v>
      </c>
      <c r="H66" s="162"/>
      <c r="I66" s="162"/>
      <c r="J66" s="160"/>
      <c r="K66" s="97"/>
      <c r="S66" s="233"/>
      <c r="T66" s="233"/>
      <c r="W66" s="100"/>
      <c r="X66" s="150"/>
      <c r="Y66" s="104"/>
      <c r="Z66" s="192" t="s">
        <v>282</v>
      </c>
      <c r="AA66" s="306">
        <v>3.25</v>
      </c>
    </row>
    <row r="67" spans="1:31">
      <c r="A67" s="85"/>
      <c r="B67" s="160"/>
      <c r="E67" s="161"/>
      <c r="F67" s="274"/>
      <c r="G67" s="64"/>
      <c r="H67" s="162"/>
      <c r="I67" s="162"/>
      <c r="J67" s="160"/>
      <c r="K67" s="156"/>
      <c r="Z67" s="192" t="s">
        <v>283</v>
      </c>
      <c r="AA67" s="198">
        <f>AB67*AA58</f>
        <v>1.8540000000000001</v>
      </c>
      <c r="AB67" s="308">
        <v>0.04</v>
      </c>
    </row>
    <row r="68" spans="1:31">
      <c r="A68" s="85"/>
      <c r="B68" s="160"/>
      <c r="E68" s="161"/>
      <c r="F68" s="274"/>
      <c r="G68" s="105" t="s">
        <v>413</v>
      </c>
      <c r="H68" s="162"/>
      <c r="I68" s="162"/>
      <c r="J68" s="160"/>
      <c r="K68" s="156"/>
      <c r="Z68" s="192" t="s">
        <v>289</v>
      </c>
      <c r="AA68" s="306">
        <v>0.17</v>
      </c>
    </row>
    <row r="69" spans="1:31">
      <c r="B69" s="160"/>
      <c r="E69" s="161"/>
      <c r="F69" s="274"/>
      <c r="G69" s="105"/>
      <c r="H69" s="162"/>
      <c r="I69" s="162"/>
      <c r="J69" s="160"/>
      <c r="K69" s="156"/>
      <c r="Z69" s="192" t="s">
        <v>398</v>
      </c>
      <c r="AA69" s="307">
        <v>0.06</v>
      </c>
      <c r="AB69" s="149" t="s">
        <v>399</v>
      </c>
    </row>
    <row r="70" spans="1:31">
      <c r="B70" s="160"/>
      <c r="E70" s="161"/>
      <c r="F70" s="274"/>
      <c r="G70" s="157"/>
      <c r="H70" s="162"/>
      <c r="I70" s="162"/>
      <c r="J70" s="160"/>
      <c r="K70" s="156"/>
    </row>
    <row r="71" spans="1:31" ht="18.75">
      <c r="A71" s="241"/>
      <c r="B71" s="165" t="s">
        <v>1</v>
      </c>
      <c r="C71" s="166">
        <v>2</v>
      </c>
      <c r="D71" s="166"/>
      <c r="E71" s="152" t="s">
        <v>8</v>
      </c>
      <c r="F71" s="292">
        <v>19</v>
      </c>
      <c r="G71" s="167" t="s">
        <v>63</v>
      </c>
      <c r="H71" s="168">
        <v>348</v>
      </c>
      <c r="I71" s="168">
        <v>7</v>
      </c>
      <c r="J71" s="165" t="s">
        <v>2</v>
      </c>
      <c r="K71" s="169" t="s">
        <v>34</v>
      </c>
      <c r="L71" s="309">
        <f>L58+T71</f>
        <v>50.050000000000004</v>
      </c>
      <c r="M71" s="235">
        <f>L71+O71+P71</f>
        <v>48.972000000000001</v>
      </c>
      <c r="N71" s="235">
        <f>L71+O71</f>
        <v>46.800000000000004</v>
      </c>
      <c r="O71" s="235">
        <f>O58</f>
        <v>-3.25</v>
      </c>
      <c r="P71" s="235">
        <f>(AA58+AA71)*AB67+AA68</f>
        <v>2.1720000000000002</v>
      </c>
      <c r="Q71" s="235">
        <f>Q58</f>
        <v>12.03</v>
      </c>
      <c r="R71" s="235">
        <f>R58</f>
        <v>23.75</v>
      </c>
      <c r="S71" s="235">
        <f>S58</f>
        <v>1.08</v>
      </c>
      <c r="T71" s="235">
        <f>AA71</f>
        <v>3.7</v>
      </c>
      <c r="U71" s="235">
        <f>Q71+R71+S71</f>
        <v>36.86</v>
      </c>
      <c r="V71" s="235">
        <f>L71+U71</f>
        <v>86.91</v>
      </c>
      <c r="W71" s="170">
        <f>W58</f>
        <v>0.17</v>
      </c>
      <c r="X71" s="171"/>
      <c r="Z71" s="192" t="s">
        <v>312</v>
      </c>
      <c r="AA71" s="306">
        <v>3.7</v>
      </c>
      <c r="AB71" s="201"/>
    </row>
    <row r="72" spans="1:31">
      <c r="A72" s="164"/>
      <c r="B72" s="305" t="str">
        <f>B59</f>
        <v>(effective May 4, 2025)</v>
      </c>
      <c r="E72" s="161"/>
      <c r="F72" s="274"/>
      <c r="H72" s="162"/>
      <c r="I72" s="162"/>
      <c r="J72" s="160"/>
      <c r="K72" s="163" t="s">
        <v>32</v>
      </c>
      <c r="L72" s="226">
        <f>L71*1.5</f>
        <v>75.075000000000003</v>
      </c>
      <c r="M72" s="226">
        <f>M71*1.5</f>
        <v>73.457999999999998</v>
      </c>
      <c r="N72" s="226">
        <f>N71*1.5</f>
        <v>70.2</v>
      </c>
      <c r="O72" s="226">
        <f>O71</f>
        <v>-3.25</v>
      </c>
      <c r="P72" s="226">
        <f>((AA58+AA71)*1.5*AB67)+AA68</f>
        <v>3.173</v>
      </c>
      <c r="Q72" s="226">
        <f>Q71</f>
        <v>12.03</v>
      </c>
      <c r="R72" s="226">
        <f>R71</f>
        <v>23.75</v>
      </c>
      <c r="S72" s="226">
        <f>S71</f>
        <v>1.08</v>
      </c>
      <c r="U72" s="226">
        <f>Q72+R72+S72</f>
        <v>36.86</v>
      </c>
      <c r="W72" s="159">
        <f>W71</f>
        <v>0.17</v>
      </c>
      <c r="X72" s="150"/>
      <c r="Y72" s="104"/>
    </row>
    <row r="73" spans="1:31">
      <c r="A73" s="164"/>
      <c r="B73" s="80"/>
      <c r="E73" s="161"/>
      <c r="F73" s="274"/>
      <c r="G73" s="80"/>
      <c r="H73" s="162"/>
      <c r="I73" s="162"/>
      <c r="J73" s="160"/>
      <c r="K73" s="163"/>
      <c r="Q73" s="226"/>
      <c r="R73" s="226"/>
      <c r="W73" s="159"/>
      <c r="X73" s="150"/>
      <c r="Y73" s="104"/>
    </row>
    <row r="74" spans="1:31">
      <c r="A74" s="85">
        <v>1965</v>
      </c>
      <c r="B74" s="160"/>
      <c r="E74" s="161"/>
      <c r="F74" s="274"/>
      <c r="G74" s="64" t="s">
        <v>89</v>
      </c>
      <c r="H74" s="162"/>
      <c r="I74" s="162"/>
      <c r="J74" s="160"/>
      <c r="K74" s="163"/>
      <c r="Q74" s="226"/>
      <c r="R74" s="226"/>
      <c r="W74" s="159"/>
      <c r="X74" s="150"/>
      <c r="Y74" s="104"/>
    </row>
    <row r="75" spans="1:31">
      <c r="A75" s="85" t="s">
        <v>48</v>
      </c>
      <c r="B75" s="160"/>
      <c r="E75" s="161"/>
      <c r="F75" s="274"/>
      <c r="G75" s="64" t="s">
        <v>191</v>
      </c>
      <c r="H75" s="162"/>
      <c r="I75" s="162"/>
      <c r="J75" s="160"/>
      <c r="K75" s="163"/>
      <c r="Q75" s="226"/>
      <c r="R75" s="226"/>
      <c r="W75" s="159"/>
      <c r="X75" s="150"/>
      <c r="Y75" s="104"/>
    </row>
    <row r="76" spans="1:31">
      <c r="A76" s="149"/>
      <c r="B76" s="160"/>
      <c r="E76" s="161"/>
      <c r="F76" s="274"/>
      <c r="H76" s="162"/>
      <c r="I76" s="162"/>
      <c r="J76" s="160"/>
      <c r="K76" s="97"/>
      <c r="S76" s="233"/>
      <c r="T76" s="233"/>
      <c r="W76" s="100"/>
      <c r="X76" s="150"/>
      <c r="Y76" s="104"/>
    </row>
    <row r="77" spans="1:31">
      <c r="A77" s="85"/>
      <c r="B77" s="160"/>
      <c r="E77" s="161"/>
      <c r="F77" s="274"/>
      <c r="G77" s="64" t="str">
        <f>G65</f>
        <v>Provided that working dues deduction of 4.0% of total gross pay plus $.17/hour  on all taxable wages shall be deducted from the employees after tax</v>
      </c>
      <c r="H77" s="162"/>
      <c r="I77" s="162"/>
      <c r="J77" s="160"/>
      <c r="K77" s="97"/>
      <c r="S77" s="233"/>
      <c r="T77" s="233"/>
      <c r="W77" s="100"/>
      <c r="X77" s="150"/>
      <c r="Y77" s="104"/>
    </row>
    <row r="78" spans="1:31">
      <c r="A78" s="85"/>
      <c r="B78" s="160"/>
      <c r="E78" s="161"/>
      <c r="F78" s="274"/>
      <c r="G78" s="64" t="str">
        <f>G66</f>
        <v>earnings and be sent to union. (4.0% of total gross pay +  $0.17 per hour)</v>
      </c>
      <c r="H78" s="162"/>
      <c r="I78" s="162"/>
      <c r="J78" s="160"/>
      <c r="K78" s="97"/>
      <c r="S78" s="233"/>
      <c r="T78" s="233"/>
      <c r="W78" s="100"/>
      <c r="X78" s="150"/>
      <c r="Y78" s="104"/>
    </row>
    <row r="79" spans="1:31">
      <c r="A79" s="85"/>
      <c r="B79" s="160"/>
      <c r="E79" s="161"/>
      <c r="F79" s="274"/>
      <c r="G79" s="64"/>
      <c r="H79" s="162"/>
      <c r="I79" s="162"/>
      <c r="J79" s="160"/>
      <c r="K79" s="97"/>
      <c r="S79" s="233"/>
      <c r="T79" s="233"/>
      <c r="W79" s="100"/>
      <c r="X79" s="150"/>
      <c r="Y79" s="104"/>
    </row>
    <row r="80" spans="1:31">
      <c r="A80" s="85"/>
      <c r="B80" s="160"/>
      <c r="E80" s="161"/>
      <c r="F80" s="274"/>
      <c r="G80" s="105" t="s">
        <v>413</v>
      </c>
      <c r="H80" s="162"/>
      <c r="I80" s="162"/>
      <c r="J80" s="160"/>
      <c r="K80" s="97"/>
      <c r="S80" s="233"/>
      <c r="T80" s="233"/>
      <c r="W80" s="100"/>
      <c r="X80" s="150"/>
      <c r="Y80" s="104"/>
    </row>
    <row r="81" spans="1:32">
      <c r="A81" s="86"/>
      <c r="B81" s="111"/>
      <c r="C81" s="87"/>
      <c r="D81" s="88"/>
      <c r="E81" s="112"/>
      <c r="F81" s="290"/>
      <c r="G81" s="88"/>
      <c r="H81" s="113"/>
      <c r="I81" s="113"/>
      <c r="J81" s="111"/>
      <c r="K81" s="92"/>
      <c r="L81" s="231"/>
      <c r="M81" s="231"/>
      <c r="N81" s="231"/>
      <c r="O81" s="231"/>
      <c r="P81" s="231"/>
      <c r="Q81" s="202"/>
      <c r="R81" s="202"/>
      <c r="S81" s="239"/>
      <c r="T81" s="239"/>
      <c r="U81" s="231"/>
      <c r="V81" s="231"/>
      <c r="W81" s="106"/>
      <c r="X81" s="107"/>
      <c r="Y81" s="104"/>
      <c r="AE81" s="192"/>
    </row>
    <row r="82" spans="1:32" ht="18.75">
      <c r="B82" s="160" t="s">
        <v>1</v>
      </c>
      <c r="C82" s="158">
        <v>2</v>
      </c>
      <c r="E82" s="161" t="s">
        <v>9</v>
      </c>
      <c r="F82" s="274" t="s">
        <v>124</v>
      </c>
      <c r="G82" s="301" t="s">
        <v>99</v>
      </c>
      <c r="H82" s="162">
        <v>255</v>
      </c>
      <c r="I82" s="162">
        <v>5</v>
      </c>
      <c r="J82" s="160" t="s">
        <v>2</v>
      </c>
      <c r="K82" s="156" t="s">
        <v>34</v>
      </c>
      <c r="L82" s="316">
        <f>AA82</f>
        <v>45.75</v>
      </c>
      <c r="M82" s="226">
        <f>L82+O82+P82</f>
        <v>41.77</v>
      </c>
      <c r="N82" s="226">
        <f>L82+P82</f>
        <v>42.77</v>
      </c>
      <c r="O82" s="226">
        <f>-AA99</f>
        <v>-1</v>
      </c>
      <c r="P82" s="226">
        <f>-AA100</f>
        <v>-2.98</v>
      </c>
      <c r="Q82" s="226">
        <f>AA84</f>
        <v>10.4</v>
      </c>
      <c r="R82" s="226">
        <f>AA86+AA87</f>
        <v>16.87</v>
      </c>
      <c r="S82" s="226">
        <f>AA88</f>
        <v>0.82</v>
      </c>
      <c r="U82" s="226">
        <f>Q82+R82+S82</f>
        <v>28.090000000000003</v>
      </c>
      <c r="V82" s="226">
        <f>L82+U82</f>
        <v>73.84</v>
      </c>
      <c r="W82" s="159">
        <v>0.1</v>
      </c>
      <c r="Y82" s="273"/>
      <c r="Z82" s="149" t="s">
        <v>294</v>
      </c>
      <c r="AA82" s="306">
        <v>45.75</v>
      </c>
      <c r="AB82" s="273"/>
      <c r="AC82" s="192"/>
      <c r="AD82" s="192">
        <f>AA82+AA84+AA85+AA86+AA87+AA94+AA95+AA96</f>
        <v>75.339999999999989</v>
      </c>
      <c r="AE82" s="192" t="s">
        <v>315</v>
      </c>
    </row>
    <row r="83" spans="1:32">
      <c r="B83" s="305" t="str">
        <f>B47</f>
        <v xml:space="preserve"> (effective May 5, 2025)</v>
      </c>
      <c r="E83" s="77"/>
      <c r="F83" s="274"/>
      <c r="H83" s="79"/>
      <c r="I83" s="79"/>
      <c r="J83" s="158"/>
      <c r="K83" s="163" t="s">
        <v>32</v>
      </c>
      <c r="L83" s="226">
        <f>L82*1.5</f>
        <v>68.625</v>
      </c>
      <c r="M83" s="226">
        <f>M82*1.5</f>
        <v>62.655000000000001</v>
      </c>
      <c r="N83" s="226">
        <f>N82*1.5</f>
        <v>64.155000000000001</v>
      </c>
      <c r="O83" s="226">
        <f>O82</f>
        <v>-1</v>
      </c>
      <c r="P83" s="226">
        <f>P82</f>
        <v>-2.98</v>
      </c>
      <c r="Q83" s="226">
        <f>Q82</f>
        <v>10.4</v>
      </c>
      <c r="R83" s="231">
        <f>R82</f>
        <v>16.87</v>
      </c>
      <c r="S83" s="226">
        <f>S82</f>
        <v>0.82</v>
      </c>
      <c r="U83" s="226">
        <f>Q83+R83+S83</f>
        <v>28.090000000000003</v>
      </c>
      <c r="W83" s="159">
        <f>W82</f>
        <v>0.1</v>
      </c>
      <c r="Z83" s="192" t="s">
        <v>295</v>
      </c>
      <c r="AA83" s="306">
        <v>48</v>
      </c>
      <c r="AC83" s="192"/>
      <c r="AD83" s="192">
        <f>AA83+AA84+AA85+AA86+AA87+AA94+AA95+AA96</f>
        <v>77.589999999999989</v>
      </c>
      <c r="AE83" s="192" t="s">
        <v>316</v>
      </c>
    </row>
    <row r="84" spans="1:32" ht="18.75">
      <c r="A84" s="241"/>
      <c r="B84" s="165" t="s">
        <v>1</v>
      </c>
      <c r="C84" s="166">
        <v>2</v>
      </c>
      <c r="D84" s="166"/>
      <c r="E84" s="152" t="s">
        <v>287</v>
      </c>
      <c r="F84" s="292">
        <v>27</v>
      </c>
      <c r="G84" s="167" t="s">
        <v>208</v>
      </c>
      <c r="H84" s="168">
        <v>255</v>
      </c>
      <c r="I84" s="168">
        <v>5</v>
      </c>
      <c r="J84" s="165" t="s">
        <v>2</v>
      </c>
      <c r="K84" s="169" t="s">
        <v>34</v>
      </c>
      <c r="L84" s="309">
        <f>AA83</f>
        <v>48</v>
      </c>
      <c r="M84" s="235">
        <f>L84+O84+P84</f>
        <v>43.94</v>
      </c>
      <c r="N84" s="235">
        <f>L84+P84</f>
        <v>44.94</v>
      </c>
      <c r="O84" s="235">
        <f>O82</f>
        <v>-1</v>
      </c>
      <c r="P84" s="235">
        <f>-AA101</f>
        <v>-3.06</v>
      </c>
      <c r="Q84" s="235">
        <f>Q82</f>
        <v>10.4</v>
      </c>
      <c r="R84" s="226">
        <f>R82</f>
        <v>16.87</v>
      </c>
      <c r="S84" s="235">
        <f>S82</f>
        <v>0.82</v>
      </c>
      <c r="T84" s="235"/>
      <c r="U84" s="235">
        <f>Q84+R84+S84</f>
        <v>28.090000000000003</v>
      </c>
      <c r="V84" s="235">
        <f>L84+U84</f>
        <v>76.09</v>
      </c>
      <c r="W84" s="170">
        <v>0.1</v>
      </c>
      <c r="X84" s="171"/>
      <c r="Z84" s="192" t="s">
        <v>151</v>
      </c>
      <c r="AA84" s="306">
        <v>10.4</v>
      </c>
      <c r="AC84" s="192"/>
      <c r="AD84" s="192"/>
      <c r="AE84" s="192"/>
    </row>
    <row r="85" spans="1:32">
      <c r="A85" s="164"/>
      <c r="B85" s="317" t="str">
        <f>B83</f>
        <v xml:space="preserve"> (effective May 5, 2025)</v>
      </c>
      <c r="C85" s="95"/>
      <c r="D85" s="95"/>
      <c r="E85" s="96"/>
      <c r="F85" s="291"/>
      <c r="G85" s="115"/>
      <c r="H85" s="44"/>
      <c r="I85" s="44"/>
      <c r="J85" s="95"/>
      <c r="K85" s="172" t="s">
        <v>32</v>
      </c>
      <c r="L85" s="232">
        <f>L84*1.5</f>
        <v>72</v>
      </c>
      <c r="M85" s="232">
        <f>M84*1.5</f>
        <v>65.91</v>
      </c>
      <c r="N85" s="232">
        <f>N84*1.5</f>
        <v>67.41</v>
      </c>
      <c r="O85" s="232">
        <f>O84</f>
        <v>-1</v>
      </c>
      <c r="P85" s="232">
        <f>P84</f>
        <v>-3.06</v>
      </c>
      <c r="Q85" s="232">
        <f>Q84</f>
        <v>10.4</v>
      </c>
      <c r="R85" s="232">
        <f>R84</f>
        <v>16.87</v>
      </c>
      <c r="S85" s="232">
        <f>S84</f>
        <v>0.82</v>
      </c>
      <c r="T85" s="232"/>
      <c r="U85" s="232">
        <f>Q85+R85+S85</f>
        <v>28.090000000000003</v>
      </c>
      <c r="V85" s="232"/>
      <c r="W85" s="98">
        <f>W84</f>
        <v>0.1</v>
      </c>
      <c r="X85" s="149"/>
      <c r="Z85" s="192" t="s">
        <v>371</v>
      </c>
      <c r="AA85" s="307">
        <v>1</v>
      </c>
      <c r="AB85" s="149" t="s">
        <v>372</v>
      </c>
      <c r="AC85" s="192"/>
      <c r="AD85" s="192"/>
      <c r="AE85" s="192"/>
    </row>
    <row r="86" spans="1:32">
      <c r="B86" s="158"/>
      <c r="E86" s="77"/>
      <c r="F86" s="274"/>
      <c r="H86" s="79"/>
      <c r="I86" s="79"/>
      <c r="J86" s="158"/>
      <c r="K86" s="163"/>
      <c r="Q86" s="226"/>
      <c r="R86" s="226"/>
      <c r="W86" s="159"/>
      <c r="Z86" s="192" t="s">
        <v>256</v>
      </c>
      <c r="AA86" s="306">
        <v>10.98</v>
      </c>
      <c r="AC86" s="192"/>
      <c r="AD86" s="192"/>
      <c r="AE86" s="192"/>
    </row>
    <row r="87" spans="1:32">
      <c r="A87" s="85">
        <v>1966</v>
      </c>
      <c r="B87" s="158"/>
      <c r="E87" s="77"/>
      <c r="F87" s="274"/>
      <c r="G87" s="64" t="s">
        <v>323</v>
      </c>
      <c r="K87" s="204"/>
      <c r="Q87" s="226"/>
      <c r="R87" s="226"/>
      <c r="W87" s="159"/>
      <c r="Z87" s="192" t="s">
        <v>290</v>
      </c>
      <c r="AA87" s="306">
        <v>5.89</v>
      </c>
      <c r="AC87" s="192"/>
      <c r="AD87" s="192"/>
      <c r="AE87" s="192"/>
    </row>
    <row r="88" spans="1:32">
      <c r="B88" s="158"/>
      <c r="E88" s="77"/>
      <c r="F88" s="274"/>
      <c r="G88" s="64" t="s">
        <v>322</v>
      </c>
      <c r="K88" s="204"/>
      <c r="L88" s="233"/>
      <c r="M88" s="233"/>
      <c r="N88" s="233"/>
      <c r="Z88" s="192" t="s">
        <v>209</v>
      </c>
      <c r="AA88" s="306">
        <v>0.82</v>
      </c>
      <c r="AC88" s="192"/>
      <c r="AD88" s="192"/>
      <c r="AE88" s="192"/>
    </row>
    <row r="89" spans="1:32">
      <c r="B89" s="158"/>
      <c r="E89" s="77"/>
      <c r="F89" s="274"/>
      <c r="G89" s="64" t="str">
        <f>"he/she will receive an additional "&amp;TEXT(AE100,"$#,##0.000")&amp;" per hour.  Provided further that painters when performing striping duties between the hours of "</f>
        <v xml:space="preserve">he/she will receive an additional $0.865 per hour.  Provided further that painters when performing striping duties between the hours of </v>
      </c>
      <c r="K89" s="204"/>
      <c r="L89" s="233"/>
      <c r="N89" s="233"/>
      <c r="Z89" s="192" t="s">
        <v>313</v>
      </c>
      <c r="AA89" s="306">
        <v>0.1</v>
      </c>
      <c r="AC89" s="192"/>
      <c r="AD89" s="192"/>
      <c r="AE89" s="192"/>
    </row>
    <row r="90" spans="1:32">
      <c r="B90" s="158"/>
      <c r="E90" s="77"/>
      <c r="F90" s="274"/>
      <c r="G90" s="64" t="str">
        <f>"12:00 a.m. and 8:00 a.m. shall receive an additional "&amp;TEXT(AE101,"#.00%")&amp;" premium."</f>
        <v>12:00 a.m. and 8:00 a.m. shall receive an additional 18.75% premium.</v>
      </c>
      <c r="K90" s="204"/>
      <c r="L90" s="233"/>
      <c r="M90" s="227"/>
      <c r="N90" s="233"/>
      <c r="Z90" s="192" t="s">
        <v>314</v>
      </c>
      <c r="AA90" s="307">
        <v>0.16</v>
      </c>
      <c r="AB90" s="149" t="s">
        <v>393</v>
      </c>
      <c r="AC90" s="192"/>
      <c r="AD90" s="192"/>
      <c r="AE90" s="192"/>
    </row>
    <row r="91" spans="1:32">
      <c r="B91" s="158"/>
      <c r="E91" s="77"/>
      <c r="F91" s="274"/>
      <c r="K91" s="204"/>
      <c r="L91" s="233"/>
      <c r="M91" s="227"/>
      <c r="N91" s="233"/>
      <c r="Z91" s="192" t="s">
        <v>390</v>
      </c>
      <c r="AA91" s="307">
        <v>0.02</v>
      </c>
      <c r="AB91" s="149" t="s">
        <v>393</v>
      </c>
    </row>
    <row r="92" spans="1:32">
      <c r="B92" s="158"/>
      <c r="E92" s="77"/>
      <c r="F92" s="274"/>
      <c r="G92" s="64" t="s">
        <v>175</v>
      </c>
      <c r="K92" s="204"/>
      <c r="L92" s="233"/>
      <c r="M92" s="237"/>
      <c r="N92" s="233"/>
      <c r="Z92" s="192" t="s">
        <v>310</v>
      </c>
      <c r="AA92" s="307">
        <v>0.01</v>
      </c>
      <c r="AB92" s="149" t="s">
        <v>393</v>
      </c>
      <c r="AC92" s="192"/>
      <c r="AD92" s="192"/>
      <c r="AE92" s="192"/>
    </row>
    <row r="93" spans="1:32">
      <c r="B93" s="158"/>
      <c r="E93" s="77"/>
      <c r="F93" s="274"/>
      <c r="G93" s="64" t="str">
        <f>"These deductions do not pyramid. (I.e., the rates remain the same: "&amp;TEXT(AA99,"$#,###.00")&amp;" per hour vacation and "&amp;TEXT(AA100,"$#,###.00")&amp;" per hour dues for Painter and "&amp;TEXT(AA101,"$#,###.00")&amp;" per hour for Industrial Painters are deducted and sent to the funds for all hours worked,"</f>
        <v>These deductions do not pyramid. (I.e., the rates remain the same: $1.00 per hour vacation and $2.98 per hour dues for Painter and $3.06 per hour for Industrial Painters are deducted and sent to the funds for all hours worked,</v>
      </c>
      <c r="K93" s="204"/>
      <c r="L93" s="233"/>
      <c r="M93" s="237"/>
      <c r="N93" s="233"/>
      <c r="Z93" s="192" t="s">
        <v>262</v>
      </c>
      <c r="AA93" s="306">
        <v>0.1</v>
      </c>
      <c r="AC93" s="192"/>
      <c r="AD93" s="192"/>
      <c r="AE93" s="192"/>
    </row>
    <row r="94" spans="1:32">
      <c r="B94" s="158"/>
      <c r="E94" s="77"/>
      <c r="F94" s="291"/>
      <c r="G94" s="105" t="s">
        <v>190</v>
      </c>
      <c r="H94" s="149"/>
      <c r="I94" s="149"/>
      <c r="J94" s="164"/>
      <c r="K94" s="205"/>
      <c r="L94" s="234"/>
      <c r="M94" s="240"/>
      <c r="N94" s="234"/>
      <c r="O94" s="232"/>
      <c r="P94" s="232"/>
      <c r="Q94" s="192"/>
      <c r="R94" s="192"/>
      <c r="S94" s="232"/>
      <c r="Z94" s="192" t="s">
        <v>291</v>
      </c>
      <c r="AA94" s="306">
        <v>1.21</v>
      </c>
      <c r="AC94" s="192"/>
      <c r="AD94" s="192"/>
      <c r="AE94" s="192"/>
    </row>
    <row r="95" spans="1:32">
      <c r="B95" s="158"/>
      <c r="E95" s="77"/>
      <c r="F95" s="291"/>
      <c r="G95" s="105"/>
      <c r="H95" s="149"/>
      <c r="I95" s="149"/>
      <c r="J95" s="164"/>
      <c r="K95" s="205"/>
      <c r="L95" s="234"/>
      <c r="M95" s="240"/>
      <c r="N95" s="234"/>
      <c r="O95" s="232"/>
      <c r="P95" s="232"/>
      <c r="Q95" s="192"/>
      <c r="R95" s="192"/>
      <c r="S95" s="232"/>
      <c r="Z95" s="192" t="s">
        <v>264</v>
      </c>
      <c r="AA95" s="307">
        <v>0.1</v>
      </c>
      <c r="AB95" s="149" t="s">
        <v>372</v>
      </c>
      <c r="AC95" s="149" t="s">
        <v>391</v>
      </c>
      <c r="AD95" s="192">
        <f>SUM(AA82,AA84:AA96)-AA94</f>
        <v>75.339999999999975</v>
      </c>
      <c r="AE95" s="192"/>
    </row>
    <row r="96" spans="1:32">
      <c r="B96" s="158"/>
      <c r="E96" s="77"/>
      <c r="F96" s="291"/>
      <c r="G96" s="105" t="s">
        <v>87</v>
      </c>
      <c r="H96" s="149"/>
      <c r="I96" s="149"/>
      <c r="J96" s="164"/>
      <c r="K96" s="205"/>
      <c r="L96" s="234"/>
      <c r="M96" s="240"/>
      <c r="N96" s="234"/>
      <c r="O96" s="232"/>
      <c r="P96" s="232"/>
      <c r="Q96" s="192"/>
      <c r="R96" s="192"/>
      <c r="S96" s="232"/>
      <c r="Z96" s="192" t="s">
        <v>265</v>
      </c>
      <c r="AA96" s="307">
        <v>0.01</v>
      </c>
      <c r="AB96" s="149" t="s">
        <v>372</v>
      </c>
      <c r="AC96" s="149" t="s">
        <v>392</v>
      </c>
      <c r="AD96" s="192">
        <f>SUM(AA83:AA96)-AA94</f>
        <v>77.589999999999975</v>
      </c>
      <c r="AE96" s="192"/>
      <c r="AF96" s="201"/>
    </row>
    <row r="97" spans="1:32">
      <c r="B97" s="158"/>
      <c r="E97" s="77"/>
      <c r="F97" s="291"/>
      <c r="G97" s="105"/>
      <c r="H97" s="149"/>
      <c r="I97" s="149"/>
      <c r="J97" s="164"/>
      <c r="K97" s="205"/>
      <c r="L97" s="234"/>
      <c r="M97" s="240"/>
      <c r="N97" s="234"/>
      <c r="O97" s="232"/>
      <c r="P97" s="232"/>
      <c r="Q97" s="192"/>
      <c r="R97" s="192"/>
      <c r="S97" s="232"/>
      <c r="AE97" s="192"/>
      <c r="AF97" s="201"/>
    </row>
    <row r="98" spans="1:32">
      <c r="B98" s="158"/>
      <c r="E98" s="77"/>
      <c r="F98" s="291"/>
      <c r="G98" s="105" t="s">
        <v>413</v>
      </c>
      <c r="H98" s="149"/>
      <c r="I98" s="149"/>
      <c r="J98" s="164"/>
      <c r="K98" s="205"/>
      <c r="L98" s="234"/>
      <c r="M98" s="234"/>
      <c r="N98" s="234"/>
      <c r="O98" s="232"/>
      <c r="P98" s="232"/>
      <c r="Q98" s="192"/>
      <c r="R98" s="192"/>
      <c r="S98" s="232"/>
      <c r="Z98" s="192" t="s">
        <v>292</v>
      </c>
      <c r="AA98" s="306">
        <v>2</v>
      </c>
    </row>
    <row r="99" spans="1:32">
      <c r="A99" s="164"/>
      <c r="B99" s="95"/>
      <c r="C99" s="95"/>
      <c r="D99" s="95"/>
      <c r="E99" s="96"/>
      <c r="F99" s="291"/>
      <c r="G99" s="105"/>
      <c r="H99" s="149"/>
      <c r="I99" s="149"/>
      <c r="J99" s="164"/>
      <c r="K99" s="205"/>
      <c r="L99" s="234"/>
      <c r="M99" s="234"/>
      <c r="N99" s="234"/>
      <c r="O99" s="232"/>
      <c r="P99" s="232"/>
      <c r="Q99" s="192"/>
      <c r="R99" s="192"/>
      <c r="S99" s="232"/>
      <c r="T99" s="232"/>
      <c r="U99" s="232"/>
      <c r="V99" s="232"/>
      <c r="W99" s="99"/>
      <c r="X99" s="149"/>
      <c r="Z99" s="192" t="s">
        <v>267</v>
      </c>
      <c r="AA99" s="306">
        <v>1</v>
      </c>
    </row>
    <row r="100" spans="1:32">
      <c r="A100" s="86"/>
      <c r="B100" s="87"/>
      <c r="C100" s="87"/>
      <c r="D100" s="88"/>
      <c r="E100" s="89"/>
      <c r="F100" s="291"/>
      <c r="G100" s="157"/>
      <c r="H100" s="44"/>
      <c r="I100" s="44"/>
      <c r="J100" s="95"/>
      <c r="K100" s="97"/>
      <c r="L100" s="234"/>
      <c r="M100" s="234"/>
      <c r="N100" s="234"/>
      <c r="O100" s="232"/>
      <c r="P100" s="232"/>
      <c r="Q100" s="192"/>
      <c r="R100" s="192"/>
      <c r="S100" s="232"/>
      <c r="T100" s="231"/>
      <c r="U100" s="231"/>
      <c r="V100" s="231"/>
      <c r="W100" s="94"/>
      <c r="X100" s="88"/>
      <c r="Z100" s="192" t="s">
        <v>293</v>
      </c>
      <c r="AA100" s="306">
        <v>2.98</v>
      </c>
      <c r="AD100" s="149" t="s">
        <v>324</v>
      </c>
      <c r="AE100" s="318">
        <v>0.86499999999999999</v>
      </c>
      <c r="AF100" s="149" t="s">
        <v>317</v>
      </c>
    </row>
    <row r="101" spans="1:32" ht="18.75">
      <c r="B101" s="160" t="s">
        <v>1</v>
      </c>
      <c r="C101" s="158">
        <v>2</v>
      </c>
      <c r="E101" s="161" t="s">
        <v>10</v>
      </c>
      <c r="F101" s="292">
        <v>20</v>
      </c>
      <c r="G101" s="167" t="s">
        <v>67</v>
      </c>
      <c r="H101" s="168">
        <v>333</v>
      </c>
      <c r="I101" s="168">
        <v>7</v>
      </c>
      <c r="J101" s="165" t="s">
        <v>2</v>
      </c>
      <c r="K101" s="167" t="s">
        <v>34</v>
      </c>
      <c r="L101" s="309">
        <f>L82+T101</f>
        <v>47.75</v>
      </c>
      <c r="M101" s="235">
        <f>L101+O101+P101</f>
        <v>43.69</v>
      </c>
      <c r="N101" s="235">
        <f>L101+P101</f>
        <v>44.69</v>
      </c>
      <c r="O101" s="235">
        <f>O84</f>
        <v>-1</v>
      </c>
      <c r="P101" s="235">
        <f>-AA102</f>
        <v>-3.06</v>
      </c>
      <c r="Q101" s="235">
        <f>Q84</f>
        <v>10.4</v>
      </c>
      <c r="R101" s="235">
        <f>R84</f>
        <v>16.87</v>
      </c>
      <c r="S101" s="235">
        <f>S82</f>
        <v>0.82</v>
      </c>
      <c r="T101" s="226">
        <f>AA98</f>
        <v>2</v>
      </c>
      <c r="U101" s="226">
        <f>Q101+R101+S101</f>
        <v>28.090000000000003</v>
      </c>
      <c r="V101" s="226">
        <f>L101+U101</f>
        <v>75.84</v>
      </c>
      <c r="W101" s="159">
        <f>W84</f>
        <v>0.1</v>
      </c>
      <c r="Z101" s="192" t="s">
        <v>296</v>
      </c>
      <c r="AA101" s="306">
        <v>3.06</v>
      </c>
      <c r="AD101" s="149" t="s">
        <v>324</v>
      </c>
      <c r="AE101" s="319">
        <v>0.1875</v>
      </c>
      <c r="AF101" s="149" t="s">
        <v>318</v>
      </c>
    </row>
    <row r="102" spans="1:32">
      <c r="B102" s="305" t="str">
        <f>B85</f>
        <v xml:space="preserve"> (effective May 5, 2025)</v>
      </c>
      <c r="F102" s="274"/>
      <c r="K102" s="163" t="s">
        <v>32</v>
      </c>
      <c r="L102" s="226">
        <f>L101*1.5</f>
        <v>71.625</v>
      </c>
      <c r="M102" s="226">
        <f>M101*1.5</f>
        <v>65.534999999999997</v>
      </c>
      <c r="N102" s="226">
        <f>N101*1.5</f>
        <v>67.034999999999997</v>
      </c>
      <c r="O102" s="226">
        <f>O101</f>
        <v>-1</v>
      </c>
      <c r="P102" s="226">
        <f>P101</f>
        <v>-3.06</v>
      </c>
      <c r="Q102" s="226">
        <f>Q101</f>
        <v>10.4</v>
      </c>
      <c r="R102" s="226">
        <f>R101</f>
        <v>16.87</v>
      </c>
      <c r="S102" s="226">
        <f>S101</f>
        <v>0.82</v>
      </c>
      <c r="U102" s="226">
        <f>Q102+R102+S102</f>
        <v>28.090000000000003</v>
      </c>
      <c r="W102" s="159">
        <v>0</v>
      </c>
      <c r="Z102" s="192" t="s">
        <v>411</v>
      </c>
      <c r="AA102" s="197">
        <v>3.06</v>
      </c>
    </row>
    <row r="103" spans="1:32">
      <c r="A103" s="85">
        <v>1966</v>
      </c>
      <c r="B103" s="160"/>
      <c r="E103" s="161"/>
      <c r="F103" s="274"/>
      <c r="G103" s="80"/>
      <c r="H103" s="162"/>
      <c r="I103" s="162"/>
      <c r="J103" s="160"/>
      <c r="K103" s="156"/>
      <c r="Q103" s="226"/>
      <c r="R103" s="226"/>
      <c r="W103" s="159"/>
    </row>
    <row r="104" spans="1:32">
      <c r="A104" s="85">
        <v>1966</v>
      </c>
      <c r="B104" s="158"/>
      <c r="E104" s="77"/>
      <c r="F104" s="274"/>
      <c r="G104" s="64" t="s">
        <v>323</v>
      </c>
      <c r="K104" s="204"/>
      <c r="Q104" s="226"/>
      <c r="R104" s="226"/>
      <c r="W104" s="159"/>
    </row>
    <row r="105" spans="1:32">
      <c r="A105" s="85" t="s">
        <v>49</v>
      </c>
      <c r="B105" s="158"/>
      <c r="E105" s="77"/>
      <c r="F105" s="274"/>
      <c r="G105" s="64" t="s">
        <v>322</v>
      </c>
      <c r="K105" s="204"/>
      <c r="L105" s="233"/>
      <c r="M105" s="233"/>
      <c r="N105" s="233"/>
    </row>
    <row r="106" spans="1:32">
      <c r="B106" s="158"/>
      <c r="E106" s="77"/>
      <c r="F106" s="274"/>
      <c r="G106" s="64" t="str">
        <f>G89</f>
        <v xml:space="preserve">he/she will receive an additional $0.865 per hour.  Provided further that painters when performing striping duties between the hours of </v>
      </c>
      <c r="K106" s="204"/>
      <c r="L106" s="233"/>
      <c r="M106" s="233"/>
      <c r="N106" s="233"/>
    </row>
    <row r="107" spans="1:32">
      <c r="B107" s="158"/>
      <c r="E107" s="77"/>
      <c r="F107" s="274"/>
      <c r="G107" s="64" t="str">
        <f>G90</f>
        <v>12:00 a.m. and 8:00 a.m. shall receive an additional 18.75% premium.</v>
      </c>
      <c r="K107" s="204"/>
      <c r="L107" s="233"/>
      <c r="M107" s="233"/>
      <c r="N107" s="233"/>
    </row>
    <row r="108" spans="1:32">
      <c r="B108" s="158"/>
      <c r="E108" s="77"/>
      <c r="F108" s="274"/>
      <c r="G108" s="64"/>
      <c r="K108" s="204"/>
      <c r="L108" s="233"/>
      <c r="M108" s="227"/>
      <c r="N108" s="233"/>
    </row>
    <row r="109" spans="1:32">
      <c r="B109" s="158"/>
      <c r="E109" s="77"/>
      <c r="F109" s="274"/>
      <c r="G109" s="64" t="s">
        <v>175</v>
      </c>
      <c r="K109" s="204"/>
      <c r="L109" s="233"/>
      <c r="M109" s="237"/>
      <c r="N109" s="233"/>
    </row>
    <row r="110" spans="1:32">
      <c r="B110" s="158"/>
      <c r="E110" s="77"/>
      <c r="F110" s="274"/>
      <c r="G110" s="64" t="str">
        <f>G93</f>
        <v>These deductions do not pyramid. (I.e., the rates remain the same: $1.00 per hour vacation and $2.98 per hour dues for Painter and $3.06 per hour for Industrial Painters are deducted and sent to the funds for all hours worked,</v>
      </c>
      <c r="K110" s="204"/>
      <c r="L110" s="233"/>
      <c r="M110" s="237"/>
      <c r="N110" s="233"/>
    </row>
    <row r="111" spans="1:32">
      <c r="B111" s="158"/>
      <c r="E111" s="77"/>
      <c r="F111" s="291"/>
      <c r="G111" s="105" t="s">
        <v>190</v>
      </c>
      <c r="H111" s="149"/>
      <c r="I111" s="149"/>
      <c r="J111" s="164"/>
      <c r="K111" s="205"/>
      <c r="L111" s="234"/>
      <c r="M111" s="240"/>
      <c r="N111" s="234"/>
      <c r="O111" s="232"/>
      <c r="P111" s="232"/>
      <c r="Q111" s="192"/>
      <c r="R111" s="192"/>
      <c r="S111" s="232"/>
    </row>
    <row r="112" spans="1:32">
      <c r="B112" s="158"/>
      <c r="E112" s="77"/>
      <c r="F112" s="291"/>
      <c r="G112" s="105"/>
      <c r="H112" s="149"/>
      <c r="I112" s="149"/>
      <c r="J112" s="164"/>
      <c r="K112" s="205"/>
      <c r="L112" s="234"/>
      <c r="M112" s="240"/>
      <c r="N112" s="234"/>
      <c r="O112" s="232"/>
      <c r="P112" s="232"/>
      <c r="Q112" s="192"/>
      <c r="R112" s="192"/>
      <c r="S112" s="232"/>
    </row>
    <row r="113" spans="1:31">
      <c r="B113" s="158"/>
      <c r="E113" s="77"/>
      <c r="F113" s="291"/>
      <c r="G113" s="105" t="s">
        <v>87</v>
      </c>
      <c r="H113" s="149"/>
      <c r="I113" s="149"/>
      <c r="J113" s="164"/>
      <c r="K113" s="205"/>
      <c r="L113" s="234"/>
      <c r="M113" s="240"/>
      <c r="N113" s="234"/>
      <c r="O113" s="232"/>
      <c r="P113" s="232"/>
      <c r="Q113" s="192"/>
      <c r="R113" s="192"/>
      <c r="S113" s="232"/>
    </row>
    <row r="114" spans="1:31">
      <c r="B114" s="158"/>
      <c r="E114" s="77"/>
      <c r="F114" s="291"/>
      <c r="G114" s="105"/>
      <c r="H114" s="149"/>
      <c r="I114" s="149"/>
      <c r="J114" s="164"/>
      <c r="K114" s="205"/>
      <c r="L114" s="234"/>
      <c r="M114" s="240"/>
      <c r="N114" s="234"/>
      <c r="O114" s="232"/>
      <c r="P114" s="232"/>
      <c r="Q114" s="192"/>
      <c r="R114" s="192"/>
      <c r="S114" s="232"/>
    </row>
    <row r="115" spans="1:31">
      <c r="B115" s="158"/>
      <c r="E115" s="77"/>
      <c r="F115" s="291"/>
      <c r="G115" s="105" t="s">
        <v>413</v>
      </c>
      <c r="H115" s="149"/>
      <c r="I115" s="149"/>
      <c r="J115" s="164"/>
      <c r="K115" s="205"/>
      <c r="L115" s="234"/>
      <c r="M115" s="234"/>
      <c r="N115" s="234"/>
      <c r="O115" s="232"/>
      <c r="P115" s="232"/>
      <c r="Q115" s="192"/>
      <c r="R115" s="192"/>
      <c r="S115" s="232"/>
    </row>
    <row r="116" spans="1:31" ht="15.75">
      <c r="A116" s="86"/>
      <c r="B116" s="111"/>
      <c r="C116" s="87"/>
      <c r="D116" s="88"/>
      <c r="E116" s="112"/>
      <c r="F116" s="290"/>
      <c r="G116" s="90"/>
      <c r="H116" s="113"/>
      <c r="I116" s="113"/>
      <c r="J116" s="111"/>
      <c r="K116" s="86"/>
      <c r="L116" s="231"/>
      <c r="M116" s="231"/>
      <c r="N116" s="231"/>
      <c r="O116" s="231"/>
      <c r="P116" s="231"/>
      <c r="Q116" s="231"/>
      <c r="R116" s="231"/>
      <c r="S116" s="231"/>
      <c r="T116" s="231"/>
      <c r="U116" s="231"/>
      <c r="V116" s="231"/>
      <c r="W116" s="93"/>
      <c r="X116" s="88"/>
      <c r="AD116"/>
      <c r="AE116" s="265"/>
    </row>
    <row r="117" spans="1:31" ht="18.75">
      <c r="B117" s="160" t="s">
        <v>1</v>
      </c>
      <c r="C117" s="158">
        <v>2</v>
      </c>
      <c r="E117" s="161" t="s">
        <v>14</v>
      </c>
      <c r="F117" s="274" t="s">
        <v>144</v>
      </c>
      <c r="G117" s="301" t="s">
        <v>64</v>
      </c>
      <c r="H117" s="162">
        <v>300</v>
      </c>
      <c r="I117" s="162">
        <v>6</v>
      </c>
      <c r="J117" s="160" t="s">
        <v>2</v>
      </c>
      <c r="K117" s="156"/>
      <c r="L117" s="300">
        <f>SUM(AA117:AA119)</f>
        <v>57.089999999999996</v>
      </c>
      <c r="M117" s="226">
        <f>L117+O117+P117</f>
        <v>53.08</v>
      </c>
      <c r="N117" s="226">
        <f>L117+O117</f>
        <v>54.11</v>
      </c>
      <c r="O117" s="226">
        <f>-AA118</f>
        <v>-2.98</v>
      </c>
      <c r="P117" s="226">
        <f>-AA119</f>
        <v>-1.03</v>
      </c>
      <c r="Q117" s="226">
        <f>AA123</f>
        <v>11.81</v>
      </c>
      <c r="R117" s="226">
        <f>AA121+AA122+AA125</f>
        <v>23.26</v>
      </c>
      <c r="S117" s="226">
        <f>AA124</f>
        <v>0.39</v>
      </c>
      <c r="U117" s="226">
        <f>Q117+R117+S117</f>
        <v>35.46</v>
      </c>
      <c r="V117" s="226">
        <f>L117+U117</f>
        <v>92.55</v>
      </c>
      <c r="W117" s="108">
        <v>0.2</v>
      </c>
      <c r="Z117" s="192" t="s">
        <v>271</v>
      </c>
      <c r="AA117" s="306">
        <v>53.08</v>
      </c>
      <c r="AB117"/>
      <c r="AC117"/>
      <c r="AD117"/>
      <c r="AE117"/>
    </row>
    <row r="118" spans="1:31" ht="15.75">
      <c r="B118" s="333" t="s">
        <v>385</v>
      </c>
      <c r="E118" s="161"/>
      <c r="F118" s="294"/>
      <c r="H118" s="162">
        <v>300</v>
      </c>
      <c r="I118" s="162">
        <v>6</v>
      </c>
      <c r="J118" s="156" t="s">
        <v>2</v>
      </c>
      <c r="K118" s="156" t="s">
        <v>32</v>
      </c>
      <c r="L118" s="226">
        <f>L117*1.5</f>
        <v>85.634999999999991</v>
      </c>
      <c r="O118" s="226">
        <f>O117</f>
        <v>-2.98</v>
      </c>
      <c r="P118" s="226">
        <f>P117</f>
        <v>-1.03</v>
      </c>
      <c r="Q118" s="226">
        <f>Q117</f>
        <v>11.81</v>
      </c>
      <c r="R118" s="226">
        <f>R117</f>
        <v>23.26</v>
      </c>
      <c r="S118" s="226">
        <f>S117</f>
        <v>0.39</v>
      </c>
      <c r="U118" s="226">
        <f>Q118+R118+S118</f>
        <v>35.46</v>
      </c>
      <c r="W118" s="108">
        <f>W117</f>
        <v>0.2</v>
      </c>
      <c r="Z118" s="192" t="s">
        <v>308</v>
      </c>
      <c r="AA118" s="306">
        <v>2.98</v>
      </c>
      <c r="AB118"/>
      <c r="AC118"/>
      <c r="AD118"/>
      <c r="AE118"/>
    </row>
    <row r="119" spans="1:31" ht="15.75">
      <c r="A119" s="85">
        <v>1989</v>
      </c>
      <c r="B119" s="78" t="s">
        <v>406</v>
      </c>
      <c r="E119" s="161"/>
      <c r="F119" s="274"/>
      <c r="H119" s="162"/>
      <c r="I119" s="162"/>
      <c r="J119" s="156"/>
      <c r="K119" s="156"/>
      <c r="Q119" s="226"/>
      <c r="R119" s="226"/>
      <c r="W119" s="159"/>
      <c r="Z119" s="192" t="s">
        <v>275</v>
      </c>
      <c r="AA119" s="306">
        <v>1.03</v>
      </c>
      <c r="AB119"/>
      <c r="AC119"/>
      <c r="AD119"/>
      <c r="AE119" s="265"/>
    </row>
    <row r="120" spans="1:31" ht="15.75">
      <c r="A120" s="283" t="s">
        <v>334</v>
      </c>
      <c r="B120" s="284"/>
      <c r="C120" s="284"/>
      <c r="D120" s="284"/>
      <c r="E120" s="285"/>
      <c r="F120" s="295"/>
      <c r="G120" s="64" t="s">
        <v>175</v>
      </c>
      <c r="H120" s="79"/>
      <c r="I120" s="79"/>
      <c r="J120" s="158"/>
      <c r="K120" s="156"/>
      <c r="L120" s="233"/>
      <c r="M120" s="237"/>
      <c r="N120" s="233"/>
      <c r="Z120" s="192" t="s">
        <v>333</v>
      </c>
      <c r="AA120" s="306">
        <f>SUM(AA117:AA119)</f>
        <v>57.089999999999996</v>
      </c>
      <c r="AB120" s="192" t="s">
        <v>410</v>
      </c>
      <c r="AC120"/>
      <c r="AD120"/>
      <c r="AE120"/>
    </row>
    <row r="121" spans="1:31" ht="15.75">
      <c r="A121" s="283" t="s">
        <v>335</v>
      </c>
      <c r="B121" s="284"/>
      <c r="C121" s="284"/>
      <c r="D121" s="284"/>
      <c r="E121" s="285"/>
      <c r="F121" s="295"/>
      <c r="G121" s="64" t="str">
        <f>"These deductions not pyramid. (I.e., the rates remain the same: "&amp;TEXT(AA118,"$#,###.00")&amp;" per hour vacation and "&amp;TEXT(AA119,"$#,###.00")&amp;" per hour dues are deducted and sent to the funds for all hours worked,"</f>
        <v>These deductions not pyramid. (I.e., the rates remain the same: $2.98 per hour vacation and $1.03 per hour dues are deducted and sent to the funds for all hours worked,</v>
      </c>
      <c r="H121" s="79"/>
      <c r="I121" s="79"/>
      <c r="J121" s="158"/>
      <c r="K121" s="156"/>
      <c r="L121" s="233"/>
      <c r="M121" s="237"/>
      <c r="N121" s="233"/>
      <c r="Z121" s="192" t="s">
        <v>272</v>
      </c>
      <c r="AA121" s="306">
        <v>6</v>
      </c>
      <c r="AC121"/>
      <c r="AD121"/>
      <c r="AE121"/>
    </row>
    <row r="122" spans="1:31" ht="15.75">
      <c r="B122" s="158"/>
      <c r="E122" s="77"/>
      <c r="F122" s="291"/>
      <c r="G122" s="105" t="s">
        <v>189</v>
      </c>
      <c r="H122" s="44"/>
      <c r="I122" s="44"/>
      <c r="J122" s="95"/>
      <c r="K122" s="97"/>
      <c r="L122" s="234"/>
      <c r="M122" s="240"/>
      <c r="N122" s="234"/>
      <c r="O122" s="232"/>
      <c r="P122" s="232"/>
      <c r="Q122" s="192"/>
      <c r="R122" s="192"/>
      <c r="S122" s="232"/>
      <c r="Z122" s="192" t="s">
        <v>153</v>
      </c>
      <c r="AA122" s="306">
        <v>11.89</v>
      </c>
      <c r="AC122" s="265"/>
      <c r="AD122" s="192"/>
    </row>
    <row r="123" spans="1:31">
      <c r="B123" s="158"/>
      <c r="E123" s="77"/>
      <c r="F123" s="291"/>
      <c r="G123" s="105"/>
      <c r="H123" s="44"/>
      <c r="I123" s="44"/>
      <c r="J123" s="95"/>
      <c r="K123" s="97"/>
      <c r="L123" s="234"/>
      <c r="M123" s="240"/>
      <c r="N123" s="234"/>
      <c r="O123" s="232"/>
      <c r="P123" s="232"/>
      <c r="Q123" s="192"/>
      <c r="R123" s="192"/>
      <c r="S123" s="232"/>
      <c r="Z123" s="192" t="s">
        <v>29</v>
      </c>
      <c r="AA123" s="306">
        <v>11.81</v>
      </c>
    </row>
    <row r="124" spans="1:31">
      <c r="B124" s="158"/>
      <c r="E124" s="77"/>
      <c r="F124" s="291"/>
      <c r="G124" s="105" t="s">
        <v>87</v>
      </c>
      <c r="H124" s="44"/>
      <c r="I124" s="44"/>
      <c r="J124" s="95"/>
      <c r="K124" s="97"/>
      <c r="L124" s="234"/>
      <c r="M124" s="240"/>
      <c r="N124" s="234"/>
      <c r="O124" s="232"/>
      <c r="P124" s="232"/>
      <c r="Q124" s="192"/>
      <c r="R124" s="192"/>
      <c r="S124" s="232"/>
      <c r="Z124" s="192" t="s">
        <v>274</v>
      </c>
      <c r="AA124" s="306">
        <v>0.39</v>
      </c>
      <c r="AD124" s="192"/>
      <c r="AE124" s="192"/>
    </row>
    <row r="125" spans="1:31" ht="15.75">
      <c r="B125" s="160"/>
      <c r="E125" s="161"/>
      <c r="F125" s="274"/>
      <c r="G125" s="64"/>
      <c r="H125" s="162"/>
      <c r="I125" s="162"/>
      <c r="J125" s="156"/>
      <c r="K125" s="156"/>
      <c r="Q125" s="226"/>
      <c r="R125" s="226"/>
      <c r="W125" s="159"/>
      <c r="Z125" s="267" t="s">
        <v>273</v>
      </c>
      <c r="AA125" s="306">
        <v>5.37</v>
      </c>
      <c r="AB125"/>
      <c r="AC125"/>
      <c r="AD125" s="192"/>
    </row>
    <row r="126" spans="1:31">
      <c r="B126" s="160"/>
      <c r="E126" s="161"/>
      <c r="F126" s="274"/>
      <c r="G126" s="105" t="s">
        <v>413</v>
      </c>
      <c r="H126" s="162"/>
      <c r="I126" s="162"/>
      <c r="J126" s="156"/>
      <c r="K126" s="156"/>
      <c r="Q126" s="226"/>
      <c r="R126" s="226"/>
      <c r="W126" s="159"/>
      <c r="AA126" s="330">
        <f>AA117+AA118+AA119+AA121+AA122+AA123+AA124+AA125</f>
        <v>92.55</v>
      </c>
      <c r="AB126" s="192" t="s">
        <v>327</v>
      </c>
      <c r="AD126" s="192"/>
    </row>
    <row r="127" spans="1:31">
      <c r="A127" s="86"/>
      <c r="B127" s="111"/>
      <c r="C127" s="87"/>
      <c r="D127" s="88"/>
      <c r="E127" s="112"/>
      <c r="F127" s="290"/>
      <c r="G127" s="157"/>
      <c r="H127" s="113"/>
      <c r="I127" s="113"/>
      <c r="J127" s="92"/>
      <c r="K127" s="92"/>
      <c r="L127" s="231"/>
      <c r="M127" s="231"/>
      <c r="N127" s="231"/>
      <c r="O127" s="231"/>
      <c r="P127" s="231"/>
      <c r="Q127" s="231"/>
      <c r="R127" s="231"/>
      <c r="S127" s="231"/>
      <c r="T127" s="231"/>
      <c r="U127" s="231"/>
      <c r="V127" s="231"/>
      <c r="W127" s="93"/>
      <c r="X127" s="88"/>
    </row>
    <row r="128" spans="1:31" ht="18.75">
      <c r="B128" s="160" t="s">
        <v>1</v>
      </c>
      <c r="C128" s="158">
        <v>2</v>
      </c>
      <c r="E128" s="161" t="s">
        <v>15</v>
      </c>
      <c r="F128" s="274">
        <v>23</v>
      </c>
      <c r="G128" s="167" t="s">
        <v>36</v>
      </c>
      <c r="H128" s="162">
        <v>363</v>
      </c>
      <c r="I128" s="162">
        <v>8</v>
      </c>
      <c r="J128" s="160" t="s">
        <v>2</v>
      </c>
      <c r="K128" s="156"/>
      <c r="L128" s="300">
        <f>L117+T128</f>
        <v>61.089999999999996</v>
      </c>
      <c r="M128" s="226">
        <f>L128+O128+P128</f>
        <v>57.08</v>
      </c>
      <c r="N128" s="226">
        <f>L128+O128</f>
        <v>58.11</v>
      </c>
      <c r="O128" s="226">
        <f>O117</f>
        <v>-2.98</v>
      </c>
      <c r="P128" s="226">
        <f>P117</f>
        <v>-1.03</v>
      </c>
      <c r="Q128" s="226">
        <f>Q117</f>
        <v>11.81</v>
      </c>
      <c r="R128" s="226">
        <f>R117</f>
        <v>23.26</v>
      </c>
      <c r="S128" s="226">
        <f>S117</f>
        <v>0.39</v>
      </c>
      <c r="T128" s="226">
        <f>AA128-AA117</f>
        <v>4</v>
      </c>
      <c r="U128" s="226">
        <f>Q128+R128+S128</f>
        <v>35.46</v>
      </c>
      <c r="V128" s="226">
        <f>L128+U128</f>
        <v>96.55</v>
      </c>
      <c r="W128" s="108">
        <f>W117</f>
        <v>0.2</v>
      </c>
      <c r="Z128" s="192" t="s">
        <v>271</v>
      </c>
      <c r="AA128" s="306">
        <v>57.08</v>
      </c>
    </row>
    <row r="129" spans="1:33">
      <c r="B129" s="333" t="str">
        <f>B118</f>
        <v>(effective May 1, 2025)</v>
      </c>
      <c r="E129" s="161"/>
      <c r="F129" s="274"/>
      <c r="G129" s="64"/>
      <c r="H129" s="162"/>
      <c r="I129" s="162"/>
      <c r="J129" s="156"/>
      <c r="K129" s="156" t="s">
        <v>32</v>
      </c>
      <c r="L129" s="226">
        <f>L128*1.5</f>
        <v>91.634999999999991</v>
      </c>
      <c r="O129" s="226">
        <f>O128</f>
        <v>-2.98</v>
      </c>
      <c r="P129" s="226">
        <f>P128</f>
        <v>-1.03</v>
      </c>
      <c r="Q129" s="226">
        <f>Q128</f>
        <v>11.81</v>
      </c>
      <c r="R129" s="226">
        <f>R128</f>
        <v>23.26</v>
      </c>
      <c r="S129" s="226">
        <f>S128</f>
        <v>0.39</v>
      </c>
      <c r="U129" s="226">
        <f>Q129+R129+S129</f>
        <v>35.46</v>
      </c>
      <c r="W129" s="108">
        <f>W128</f>
        <v>0.2</v>
      </c>
      <c r="AA129" s="200">
        <f>AA128+AA118+AA119+AA121+AA122+AA123+AA124+AA125</f>
        <v>96.550000000000011</v>
      </c>
      <c r="AB129" s="149" t="s">
        <v>327</v>
      </c>
    </row>
    <row r="130" spans="1:33">
      <c r="B130" s="78" t="s">
        <v>406</v>
      </c>
      <c r="E130" s="161"/>
      <c r="F130" s="274"/>
      <c r="G130" s="64"/>
      <c r="H130" s="162"/>
      <c r="I130" s="162"/>
      <c r="J130" s="156"/>
      <c r="K130" s="156"/>
      <c r="Q130" s="226"/>
      <c r="R130" s="226"/>
      <c r="W130" s="159"/>
    </row>
    <row r="131" spans="1:33">
      <c r="B131" s="158"/>
      <c r="E131" s="77"/>
      <c r="F131" s="274"/>
      <c r="G131" s="64" t="s">
        <v>175</v>
      </c>
      <c r="K131" s="204"/>
      <c r="L131" s="233"/>
      <c r="M131" s="237"/>
      <c r="N131" s="233"/>
    </row>
    <row r="132" spans="1:33">
      <c r="B132" s="158"/>
      <c r="E132" s="77"/>
      <c r="F132" s="274"/>
      <c r="G132" s="64" t="str">
        <f>G121</f>
        <v>These deductions not pyramid. (I.e., the rates remain the same: $2.98 per hour vacation and $1.03 per hour dues are deducted and sent to the funds for all hours worked,</v>
      </c>
      <c r="K132" s="204"/>
      <c r="L132" s="233"/>
      <c r="M132" s="237"/>
      <c r="N132" s="233"/>
    </row>
    <row r="133" spans="1:33">
      <c r="B133" s="158"/>
      <c r="E133" s="77"/>
      <c r="F133" s="291"/>
      <c r="G133" s="105" t="s">
        <v>190</v>
      </c>
      <c r="H133" s="149"/>
      <c r="I133" s="149"/>
      <c r="J133" s="164"/>
      <c r="K133" s="205"/>
      <c r="L133" s="234"/>
      <c r="M133" s="240"/>
      <c r="N133" s="234"/>
      <c r="O133" s="232"/>
      <c r="P133" s="232"/>
      <c r="Q133" s="192"/>
      <c r="R133" s="192"/>
      <c r="S133" s="232"/>
    </row>
    <row r="134" spans="1:33">
      <c r="B134" s="158"/>
      <c r="E134" s="77"/>
      <c r="F134" s="291"/>
      <c r="G134" s="105"/>
      <c r="H134" s="149"/>
      <c r="I134" s="149"/>
      <c r="J134" s="164"/>
      <c r="K134" s="205"/>
      <c r="L134" s="234"/>
      <c r="M134" s="240"/>
      <c r="N134" s="234"/>
      <c r="O134" s="232"/>
      <c r="P134" s="232"/>
      <c r="Q134" s="192"/>
      <c r="R134" s="192"/>
      <c r="S134" s="232"/>
    </row>
    <row r="135" spans="1:33">
      <c r="B135" s="158"/>
      <c r="E135" s="77"/>
      <c r="F135" s="291"/>
      <c r="G135" s="105" t="s">
        <v>87</v>
      </c>
      <c r="H135" s="149"/>
      <c r="I135" s="149"/>
      <c r="J135" s="164"/>
      <c r="K135" s="205"/>
      <c r="L135" s="234"/>
      <c r="M135" s="240"/>
      <c r="N135" s="234"/>
      <c r="O135" s="232"/>
      <c r="P135" s="232"/>
      <c r="Q135" s="192"/>
      <c r="R135" s="192"/>
      <c r="S135" s="232"/>
    </row>
    <row r="136" spans="1:33">
      <c r="B136" s="160"/>
      <c r="E136" s="161"/>
      <c r="F136" s="274"/>
      <c r="G136" s="64"/>
      <c r="H136" s="224"/>
      <c r="I136" s="224"/>
      <c r="J136" s="204"/>
      <c r="K136" s="204"/>
      <c r="Q136" s="226"/>
      <c r="R136" s="226"/>
      <c r="W136" s="159"/>
    </row>
    <row r="137" spans="1:33">
      <c r="B137" s="160"/>
      <c r="E137" s="161"/>
      <c r="F137" s="274"/>
      <c r="G137" s="105" t="s">
        <v>413</v>
      </c>
      <c r="H137" s="224"/>
      <c r="I137" s="224"/>
      <c r="J137" s="204"/>
      <c r="K137" s="204"/>
      <c r="Q137" s="226"/>
      <c r="R137" s="226"/>
      <c r="W137" s="159"/>
    </row>
    <row r="138" spans="1:33">
      <c r="A138" s="86"/>
      <c r="B138" s="111"/>
      <c r="C138" s="87"/>
      <c r="D138" s="88"/>
      <c r="E138" s="112"/>
      <c r="F138" s="290"/>
      <c r="G138" s="157"/>
      <c r="H138" s="113"/>
      <c r="I138" s="113"/>
      <c r="J138" s="111"/>
      <c r="K138" s="92"/>
      <c r="L138" s="231"/>
      <c r="M138" s="231"/>
      <c r="N138" s="231"/>
      <c r="O138" s="231"/>
      <c r="P138" s="231"/>
      <c r="Q138" s="231"/>
      <c r="R138" s="231"/>
      <c r="S138" s="231"/>
      <c r="T138" s="231"/>
      <c r="U138" s="231"/>
      <c r="V138" s="231"/>
      <c r="W138" s="93"/>
      <c r="X138" s="88"/>
    </row>
    <row r="139" spans="1:33" ht="37.5">
      <c r="B139" s="160" t="s">
        <v>1</v>
      </c>
      <c r="C139" s="158">
        <v>2</v>
      </c>
      <c r="E139" s="148" t="s">
        <v>45</v>
      </c>
      <c r="F139" s="274">
        <v>11</v>
      </c>
      <c r="G139" s="303" t="s">
        <v>188</v>
      </c>
      <c r="H139" s="162">
        <v>305</v>
      </c>
      <c r="I139" s="162">
        <v>6</v>
      </c>
      <c r="J139" s="160" t="s">
        <v>2</v>
      </c>
      <c r="K139" s="156"/>
      <c r="L139" s="300">
        <f>M139+-O139+-P139</f>
        <v>56.24</v>
      </c>
      <c r="M139" s="226">
        <f>AA139</f>
        <v>51.03</v>
      </c>
      <c r="N139" s="226">
        <f>M139-P139</f>
        <v>52.74</v>
      </c>
      <c r="O139" s="226">
        <f>-AA144</f>
        <v>-3.5</v>
      </c>
      <c r="P139" s="226">
        <f>SUM(AA140:AA142)*-1</f>
        <v>-1.7100000000000002</v>
      </c>
      <c r="Q139" s="226">
        <f>AA143</f>
        <v>13.68</v>
      </c>
      <c r="R139" s="226">
        <f>SUM(AC139:AC141)</f>
        <v>23.6</v>
      </c>
      <c r="S139" s="226">
        <f>AA145</f>
        <v>1.92</v>
      </c>
      <c r="U139" s="226">
        <f>Q139+R139+S139</f>
        <v>39.200000000000003</v>
      </c>
      <c r="V139" s="226">
        <f>L139+U139</f>
        <v>95.44</v>
      </c>
      <c r="W139" s="108">
        <v>0.3</v>
      </c>
      <c r="Z139" s="192" t="s">
        <v>298</v>
      </c>
      <c r="AA139" s="306">
        <v>51.03</v>
      </c>
      <c r="AB139" s="280" t="s">
        <v>30</v>
      </c>
      <c r="AC139" s="330">
        <v>14.61</v>
      </c>
    </row>
    <row r="140" spans="1:33">
      <c r="A140" s="85">
        <v>1967</v>
      </c>
      <c r="B140" s="305" t="s">
        <v>385</v>
      </c>
      <c r="E140" s="161"/>
      <c r="F140" s="274"/>
      <c r="H140" s="162"/>
      <c r="I140" s="162"/>
      <c r="J140" s="160"/>
      <c r="K140" s="156" t="s">
        <v>32</v>
      </c>
      <c r="L140" s="226">
        <f t="shared" ref="L140:S140" si="1">L139*1.5</f>
        <v>84.36</v>
      </c>
      <c r="M140" s="226">
        <f>M139*1.5</f>
        <v>76.545000000000002</v>
      </c>
      <c r="N140" s="226">
        <f t="shared" si="1"/>
        <v>79.11</v>
      </c>
      <c r="O140" s="226">
        <f t="shared" si="1"/>
        <v>-5.25</v>
      </c>
      <c r="P140" s="226">
        <f t="shared" si="1"/>
        <v>-2.5650000000000004</v>
      </c>
      <c r="Q140" s="226">
        <f t="shared" si="1"/>
        <v>20.52</v>
      </c>
      <c r="R140" s="226">
        <f t="shared" si="1"/>
        <v>35.400000000000006</v>
      </c>
      <c r="S140" s="226">
        <f t="shared" si="1"/>
        <v>2.88</v>
      </c>
      <c r="U140" s="226">
        <f>U139*1.5</f>
        <v>58.800000000000004</v>
      </c>
      <c r="W140" s="108">
        <f>W139*1.5</f>
        <v>0.44999999999999996</v>
      </c>
      <c r="Z140" s="192" t="s">
        <v>400</v>
      </c>
      <c r="AA140" s="306">
        <v>1.56</v>
      </c>
      <c r="AB140" s="280" t="s">
        <v>244</v>
      </c>
      <c r="AC140" s="330">
        <v>7.44</v>
      </c>
    </row>
    <row r="141" spans="1:33" ht="15.75">
      <c r="A141" s="85" t="s">
        <v>50</v>
      </c>
      <c r="B141" s="160"/>
      <c r="E141" s="161"/>
      <c r="F141" s="274"/>
      <c r="G141" s="266"/>
      <c r="H141" s="162"/>
      <c r="I141" s="162"/>
      <c r="J141" s="160"/>
      <c r="K141" s="156"/>
      <c r="Q141" s="226"/>
      <c r="R141" s="226"/>
      <c r="W141" s="159"/>
      <c r="Z141" s="192" t="s">
        <v>242</v>
      </c>
      <c r="AA141" s="306">
        <v>0.05</v>
      </c>
      <c r="AB141" s="280" t="s">
        <v>245</v>
      </c>
      <c r="AC141" s="330">
        <v>1.55</v>
      </c>
    </row>
    <row r="142" spans="1:33">
      <c r="A142" s="85">
        <v>1968</v>
      </c>
      <c r="B142" s="160"/>
      <c r="E142" s="161"/>
      <c r="F142" s="274"/>
      <c r="G142" s="64" t="str">
        <f>"Provided that working dues deduction of "&amp;TEXT($AC$142,"$#,###.00")&amp;"/hr straight time, "&amp;TEXT($AC$143,"$#,###.00")&amp;"/hr overtime, (all taxable wages) should"</f>
        <v>Provided that working dues deduction of $1.71/hr straight time, $2.57/hr overtime, (all taxable wages) should</v>
      </c>
      <c r="H142" s="162"/>
      <c r="I142" s="162"/>
      <c r="J142" s="160"/>
      <c r="K142" s="156"/>
      <c r="Q142" s="226"/>
      <c r="R142" s="226"/>
      <c r="W142" s="159"/>
      <c r="Z142" s="192" t="s">
        <v>243</v>
      </c>
      <c r="AA142" s="306">
        <v>0.1</v>
      </c>
      <c r="AB142" s="280" t="s">
        <v>86</v>
      </c>
      <c r="AC142" s="200">
        <f>AA140+AA141+AA142</f>
        <v>1.7100000000000002</v>
      </c>
    </row>
    <row r="143" spans="1:33">
      <c r="A143" s="85" t="s">
        <v>51</v>
      </c>
      <c r="B143" s="160"/>
      <c r="E143" s="161"/>
      <c r="F143" s="274"/>
      <c r="G143" s="64" t="s">
        <v>35</v>
      </c>
      <c r="H143" s="162"/>
      <c r="I143" s="162"/>
      <c r="J143" s="160"/>
      <c r="K143" s="156"/>
      <c r="Q143" s="226"/>
      <c r="R143" s="226"/>
      <c r="W143" s="159"/>
      <c r="Z143" s="192" t="s">
        <v>284</v>
      </c>
      <c r="AA143" s="306">
        <v>13.68</v>
      </c>
      <c r="AB143" s="280" t="s">
        <v>402</v>
      </c>
      <c r="AC143" s="200">
        <f>AC142*1.5</f>
        <v>2.5650000000000004</v>
      </c>
    </row>
    <row r="144" spans="1:33">
      <c r="A144" s="85"/>
      <c r="B144" s="160"/>
      <c r="E144" s="161"/>
      <c r="F144" s="274"/>
      <c r="G144" s="64"/>
      <c r="H144" s="162"/>
      <c r="I144" s="162"/>
      <c r="J144" s="160"/>
      <c r="K144" s="156"/>
      <c r="Q144" s="226"/>
      <c r="R144" s="226"/>
      <c r="W144" s="159"/>
      <c r="Z144" s="192" t="s">
        <v>297</v>
      </c>
      <c r="AA144" s="306">
        <v>3.5</v>
      </c>
      <c r="AB144" s="280" t="s">
        <v>377</v>
      </c>
      <c r="AC144" s="200">
        <f>SUM(AA146:AA147)+U139</f>
        <v>39.61</v>
      </c>
      <c r="AG144" s="201"/>
    </row>
    <row r="145" spans="1:33">
      <c r="A145" s="85"/>
      <c r="B145" s="160"/>
      <c r="E145" s="161"/>
      <c r="F145" s="274"/>
      <c r="G145" s="105" t="s">
        <v>413</v>
      </c>
      <c r="H145" s="162"/>
      <c r="I145" s="162"/>
      <c r="J145" s="160"/>
      <c r="K145" s="156"/>
      <c r="Q145" s="226"/>
      <c r="R145" s="226"/>
      <c r="W145" s="159"/>
      <c r="Z145" s="192" t="s">
        <v>401</v>
      </c>
      <c r="AA145" s="306">
        <v>1.92</v>
      </c>
      <c r="AB145" s="280" t="s">
        <v>376</v>
      </c>
      <c r="AC145" s="200">
        <f>AA144+AA140+AA141+AA142</f>
        <v>5.21</v>
      </c>
      <c r="AG145" s="201"/>
    </row>
    <row r="146" spans="1:33">
      <c r="A146" s="85">
        <v>1969</v>
      </c>
      <c r="B146" s="160"/>
      <c r="E146" s="161"/>
      <c r="F146" s="274"/>
      <c r="G146" s="105"/>
      <c r="H146" s="162"/>
      <c r="I146" s="162"/>
      <c r="J146" s="160"/>
      <c r="K146" s="156"/>
      <c r="Q146" s="226"/>
      <c r="R146" s="226"/>
      <c r="W146" s="159"/>
      <c r="Z146" s="149" t="s">
        <v>325</v>
      </c>
      <c r="AA146" s="330">
        <v>0.1</v>
      </c>
      <c r="AB146" s="280" t="s">
        <v>375</v>
      </c>
      <c r="AC146" s="200">
        <f>SUM(AC144:AC145)</f>
        <v>44.82</v>
      </c>
    </row>
    <row r="147" spans="1:33">
      <c r="A147" s="85" t="s">
        <v>52</v>
      </c>
      <c r="B147" s="86"/>
      <c r="C147" s="87"/>
      <c r="D147" s="88"/>
      <c r="E147" s="114"/>
      <c r="F147" s="290"/>
      <c r="G147" s="115"/>
      <c r="H147" s="88"/>
      <c r="I147" s="88"/>
      <c r="J147" s="86"/>
      <c r="K147" s="92"/>
      <c r="L147" s="231"/>
      <c r="M147" s="231"/>
      <c r="N147" s="231"/>
      <c r="O147" s="231"/>
      <c r="P147" s="231"/>
      <c r="Q147" s="231"/>
      <c r="R147" s="231"/>
      <c r="S147" s="231"/>
      <c r="T147" s="231"/>
      <c r="U147" s="231"/>
      <c r="V147" s="231"/>
      <c r="W147" s="93"/>
      <c r="X147" s="88"/>
      <c r="Z147" s="149" t="s">
        <v>326</v>
      </c>
      <c r="AA147" s="330">
        <v>0.31</v>
      </c>
      <c r="AE147" s="189"/>
      <c r="AF147" s="189"/>
    </row>
    <row r="148" spans="1:33" s="189" customFormat="1" ht="37.5">
      <c r="A148" s="148"/>
      <c r="B148" s="148" t="s">
        <v>1</v>
      </c>
      <c r="C148" s="148">
        <v>2</v>
      </c>
      <c r="D148" s="148"/>
      <c r="E148" s="148" t="s">
        <v>46</v>
      </c>
      <c r="F148" s="296">
        <v>21</v>
      </c>
      <c r="G148" s="303" t="s">
        <v>65</v>
      </c>
      <c r="H148" s="148">
        <v>305</v>
      </c>
      <c r="I148" s="148">
        <v>6</v>
      </c>
      <c r="J148" s="148" t="s">
        <v>2</v>
      </c>
      <c r="K148" s="148"/>
      <c r="L148" s="300">
        <f>M148+-O148+-P148</f>
        <v>60.39</v>
      </c>
      <c r="M148" s="226">
        <f>AA149</f>
        <v>55.18</v>
      </c>
      <c r="N148" s="226">
        <f>M148-P148</f>
        <v>56.89</v>
      </c>
      <c r="O148" s="226">
        <f>O139</f>
        <v>-3.5</v>
      </c>
      <c r="P148" s="226">
        <f>P139</f>
        <v>-1.7100000000000002</v>
      </c>
      <c r="Q148" s="226">
        <f>Q139</f>
        <v>13.68</v>
      </c>
      <c r="R148" s="226">
        <f>R139</f>
        <v>23.6</v>
      </c>
      <c r="S148" s="226">
        <f>S139</f>
        <v>1.92</v>
      </c>
      <c r="T148" s="226">
        <f>M148-M139</f>
        <v>4.1499999999999986</v>
      </c>
      <c r="U148" s="226">
        <f>U139</f>
        <v>39.200000000000003</v>
      </c>
      <c r="V148" s="226">
        <f>L148+U148</f>
        <v>99.59</v>
      </c>
      <c r="W148" s="159">
        <f>W139</f>
        <v>0.3</v>
      </c>
      <c r="X148" s="148"/>
      <c r="Z148" s="195"/>
      <c r="AA148" s="199"/>
      <c r="AE148" s="149"/>
      <c r="AF148" s="149"/>
    </row>
    <row r="149" spans="1:33">
      <c r="B149" s="305" t="str">
        <f>B140</f>
        <v>(effective May 1, 2025)</v>
      </c>
      <c r="E149" s="161"/>
      <c r="F149" s="274"/>
      <c r="H149" s="162"/>
      <c r="I149" s="162"/>
      <c r="J149" s="160"/>
      <c r="K149" s="156" t="s">
        <v>32</v>
      </c>
      <c r="L149" s="226">
        <f>L148*1.5</f>
        <v>90.585000000000008</v>
      </c>
      <c r="M149" s="226">
        <f>M148*1.5</f>
        <v>82.77</v>
      </c>
      <c r="N149" s="226">
        <f>N148*1.5</f>
        <v>85.335000000000008</v>
      </c>
      <c r="O149" s="226">
        <f>O148*1.5</f>
        <v>-5.25</v>
      </c>
      <c r="P149" s="226">
        <f t="shared" ref="P149:U149" si="2">P148*1.5</f>
        <v>-2.5650000000000004</v>
      </c>
      <c r="Q149" s="226">
        <f t="shared" si="2"/>
        <v>20.52</v>
      </c>
      <c r="R149" s="226">
        <f t="shared" si="2"/>
        <v>35.400000000000006</v>
      </c>
      <c r="S149" s="226">
        <f t="shared" si="2"/>
        <v>2.88</v>
      </c>
      <c r="U149" s="226">
        <f t="shared" si="2"/>
        <v>58.800000000000004</v>
      </c>
      <c r="W149" s="159">
        <f>W148*1.5</f>
        <v>0.44999999999999996</v>
      </c>
      <c r="Z149" s="192" t="s">
        <v>299</v>
      </c>
      <c r="AA149" s="306">
        <v>55.18</v>
      </c>
    </row>
    <row r="150" spans="1:33">
      <c r="B150" s="160"/>
      <c r="E150" s="161"/>
      <c r="F150" s="274"/>
      <c r="G150" s="80"/>
      <c r="H150" s="162"/>
      <c r="I150" s="162"/>
      <c r="J150" s="160"/>
      <c r="K150" s="156"/>
      <c r="Q150" s="226"/>
      <c r="R150" s="226"/>
      <c r="W150" s="159"/>
    </row>
    <row r="151" spans="1:33">
      <c r="B151" s="160"/>
      <c r="E151" s="161"/>
      <c r="F151" s="297"/>
      <c r="G151" s="64" t="str">
        <f>"Provided that working dues deduction of "&amp;TEXT($AC$142,"$#,###.00")&amp;"/hr straight time, "&amp;TEXT($AC$143,"$#,###.00")&amp;"/hr overtime, (all taxable wages) should"</f>
        <v>Provided that working dues deduction of $1.71/hr straight time, $2.57/hr overtime, (all taxable wages) should</v>
      </c>
      <c r="H151" s="162"/>
      <c r="I151" s="162"/>
      <c r="J151" s="160"/>
      <c r="K151" s="156"/>
      <c r="Q151" s="226"/>
      <c r="R151" s="226"/>
      <c r="W151" s="159"/>
    </row>
    <row r="152" spans="1:33">
      <c r="B152" s="160"/>
      <c r="E152" s="161"/>
      <c r="F152" s="274"/>
      <c r="G152" s="64" t="s">
        <v>35</v>
      </c>
      <c r="H152" s="162"/>
      <c r="I152" s="162"/>
      <c r="J152" s="160"/>
      <c r="K152" s="156"/>
      <c r="Q152" s="226"/>
      <c r="R152" s="226"/>
      <c r="W152" s="159"/>
    </row>
    <row r="153" spans="1:33" ht="15.75">
      <c r="B153" s="160"/>
      <c r="E153" s="161"/>
      <c r="F153" s="274"/>
      <c r="G153" s="64"/>
      <c r="H153" s="162"/>
      <c r="I153" s="162"/>
      <c r="J153" s="160"/>
      <c r="K153" s="156"/>
      <c r="Q153" s="226"/>
      <c r="R153" s="226"/>
      <c r="W153" s="159"/>
      <c r="AD153"/>
    </row>
    <row r="154" spans="1:33">
      <c r="B154" s="160"/>
      <c r="E154" s="161"/>
      <c r="F154" s="274"/>
      <c r="G154" s="105" t="s">
        <v>413</v>
      </c>
      <c r="H154" s="162"/>
      <c r="I154" s="162"/>
      <c r="J154" s="160"/>
      <c r="K154" s="156"/>
      <c r="Q154" s="226"/>
      <c r="R154" s="226"/>
      <c r="W154" s="159"/>
      <c r="AD154" s="192"/>
    </row>
    <row r="155" spans="1:33">
      <c r="A155" s="86"/>
      <c r="B155" s="111"/>
      <c r="C155" s="87"/>
      <c r="D155" s="88"/>
      <c r="E155" s="112"/>
      <c r="F155" s="290"/>
      <c r="G155" s="90"/>
      <c r="H155" s="113"/>
      <c r="I155" s="113"/>
      <c r="J155" s="111"/>
      <c r="K155" s="92"/>
      <c r="L155" s="231"/>
      <c r="M155" s="231"/>
      <c r="N155" s="231"/>
      <c r="O155" s="231"/>
      <c r="P155" s="231"/>
      <c r="Q155" s="231"/>
      <c r="R155" s="231"/>
      <c r="S155" s="231"/>
      <c r="T155" s="231"/>
      <c r="U155" s="231"/>
      <c r="V155" s="231"/>
      <c r="W155" s="93"/>
      <c r="X155" s="88"/>
    </row>
    <row r="156" spans="1:33" ht="18.75">
      <c r="B156" s="160" t="s">
        <v>1</v>
      </c>
      <c r="C156" s="158">
        <v>2</v>
      </c>
      <c r="E156" s="161" t="s">
        <v>11</v>
      </c>
      <c r="F156" s="274" t="s">
        <v>138</v>
      </c>
      <c r="G156" s="304" t="s">
        <v>66</v>
      </c>
      <c r="H156" s="162">
        <v>305</v>
      </c>
      <c r="I156" s="162">
        <v>6</v>
      </c>
      <c r="J156" s="160" t="s">
        <v>2</v>
      </c>
      <c r="K156" s="156"/>
      <c r="L156" s="316">
        <f>AA156</f>
        <v>60.01</v>
      </c>
      <c r="M156" s="226">
        <f>AA160</f>
        <v>49.02</v>
      </c>
      <c r="N156" s="226">
        <f>L156+P156</f>
        <v>54.86</v>
      </c>
      <c r="O156" s="226">
        <f>-AA157</f>
        <v>-5.84</v>
      </c>
      <c r="P156" s="226">
        <f>-AA159-AA158</f>
        <v>-5.15</v>
      </c>
      <c r="Q156" s="226">
        <f>AA161</f>
        <v>13.4</v>
      </c>
      <c r="R156" s="226">
        <f>AA162+AA163+AA164+AA166</f>
        <v>18.36</v>
      </c>
      <c r="S156" s="226">
        <f>AA165</f>
        <v>1.4</v>
      </c>
      <c r="U156" s="226">
        <f>Q156+R156+S156+AC159</f>
        <v>33.159999999999997</v>
      </c>
      <c r="V156" s="226">
        <f>L156+U156</f>
        <v>93.169999999999987</v>
      </c>
      <c r="W156" s="159">
        <v>0.21</v>
      </c>
      <c r="Y156" s="273"/>
      <c r="Z156" s="192" t="s">
        <v>70</v>
      </c>
      <c r="AA156" s="306">
        <v>60.01</v>
      </c>
      <c r="AB156"/>
      <c r="AC156"/>
    </row>
    <row r="157" spans="1:33" ht="15.75">
      <c r="B157" s="305" t="s">
        <v>385</v>
      </c>
      <c r="E157" s="160"/>
      <c r="F157" s="274"/>
      <c r="H157" s="162"/>
      <c r="I157" s="162"/>
      <c r="J157" s="160"/>
      <c r="K157" s="156" t="s">
        <v>32</v>
      </c>
      <c r="L157" s="226">
        <f t="shared" ref="L157:S157" si="3">L156*1.5</f>
        <v>90.015000000000001</v>
      </c>
      <c r="M157" s="226">
        <f>M156*1.5</f>
        <v>73.53</v>
      </c>
      <c r="N157" s="226">
        <f>N156*1.5</f>
        <v>82.289999999999992</v>
      </c>
      <c r="O157" s="226">
        <f t="shared" si="3"/>
        <v>-8.76</v>
      </c>
      <c r="P157" s="226">
        <f t="shared" si="3"/>
        <v>-7.7250000000000005</v>
      </c>
      <c r="Q157" s="226">
        <f t="shared" si="3"/>
        <v>20.100000000000001</v>
      </c>
      <c r="R157" s="226">
        <f t="shared" si="3"/>
        <v>27.54</v>
      </c>
      <c r="S157" s="226">
        <f t="shared" si="3"/>
        <v>2.0999999999999996</v>
      </c>
      <c r="U157" s="226">
        <f>U156*1.5</f>
        <v>49.739999999999995</v>
      </c>
      <c r="W157" s="159">
        <f>W156*1.5</f>
        <v>0.315</v>
      </c>
      <c r="Z157" s="192" t="s">
        <v>297</v>
      </c>
      <c r="AA157" s="306">
        <v>5.84</v>
      </c>
      <c r="AB157"/>
    </row>
    <row r="158" spans="1:33" ht="15.75">
      <c r="A158" s="85">
        <v>1970</v>
      </c>
      <c r="E158" s="161"/>
      <c r="F158" s="274"/>
      <c r="G158" s="80"/>
      <c r="H158" s="162"/>
      <c r="I158" s="162"/>
      <c r="J158" s="160"/>
      <c r="K158" s="156"/>
      <c r="Z158" s="192" t="s">
        <v>285</v>
      </c>
      <c r="AA158" s="306">
        <v>0.5</v>
      </c>
      <c r="AB158"/>
      <c r="AC158"/>
    </row>
    <row r="159" spans="1:33" ht="15.75">
      <c r="A159" s="85" t="s">
        <v>53</v>
      </c>
      <c r="B159" s="160"/>
      <c r="E159" s="161"/>
      <c r="F159" s="274"/>
      <c r="G159" s="64" t="str">
        <f>"Provided that after all taxes are paid, a working dues deduction of "&amp;TEXT(AA159,"$#,###.00")&amp;"/hr straight time, "&amp;TEXT(AA159*1.5,"$#,###.00")&amp;"/hr overtime from the employee's earnings shall be sent to union fringe funds."</f>
        <v>Provided that after all taxes are paid, a working dues deduction of $4.65/hr straight time, $6.98/hr overtime from the employee's earnings shall be sent to union fringe funds.</v>
      </c>
      <c r="H159" s="162"/>
      <c r="I159" s="162"/>
      <c r="J159" s="160"/>
      <c r="K159" s="156"/>
      <c r="Z159" s="192" t="s">
        <v>328</v>
      </c>
      <c r="AA159" s="306">
        <v>4.6500000000000004</v>
      </c>
      <c r="AB159"/>
      <c r="AC159"/>
    </row>
    <row r="160" spans="1:33">
      <c r="A160" s="85" t="s">
        <v>54</v>
      </c>
      <c r="B160" s="160"/>
      <c r="E160" s="161"/>
      <c r="F160" s="274"/>
      <c r="G160" s="64"/>
      <c r="H160" s="162"/>
      <c r="I160" s="162"/>
      <c r="J160" s="160"/>
      <c r="K160" s="156"/>
      <c r="Z160" s="192" t="s">
        <v>382</v>
      </c>
      <c r="AA160" s="223">
        <f>AA156-AA157-AA158-AA159</f>
        <v>49.02</v>
      </c>
    </row>
    <row r="161" spans="1:29">
      <c r="A161" s="85">
        <v>1972</v>
      </c>
      <c r="B161" s="160"/>
      <c r="E161" s="161"/>
      <c r="F161" s="274"/>
      <c r="G161" s="64" t="str">
        <f>"Provided that in ADDITION to the Local Pension Contributions shown above, "&amp;TEXT(AA166,"$#,###.00")&amp;" per hour for all hours worked shall be sent directly to the Plumbers National Pension Fund. "</f>
        <v xml:space="preserve">Provided that in ADDITION to the Local Pension Contributions shown above, $2.72 per hour for all hours worked shall be sent directly to the Plumbers National Pension Fund. </v>
      </c>
      <c r="H161" s="162"/>
      <c r="I161" s="162"/>
      <c r="J161" s="160"/>
      <c r="K161" s="156"/>
      <c r="Z161" s="192" t="s">
        <v>380</v>
      </c>
      <c r="AA161" s="272">
        <v>13.4</v>
      </c>
      <c r="AB161" s="280" t="s">
        <v>383</v>
      </c>
      <c r="AC161" s="281">
        <f>SUM(AA161:AA166)</f>
        <v>33.159999999999997</v>
      </c>
    </row>
    <row r="162" spans="1:29">
      <c r="A162" s="85"/>
      <c r="B162" s="160"/>
      <c r="E162" s="161"/>
      <c r="F162" s="274"/>
      <c r="G162" s="64" t="s">
        <v>177</v>
      </c>
      <c r="H162" s="162"/>
      <c r="I162" s="162"/>
      <c r="J162" s="160"/>
      <c r="K162" s="156"/>
      <c r="Z162" s="192" t="s">
        <v>152</v>
      </c>
      <c r="AA162" s="306">
        <v>1.55</v>
      </c>
      <c r="AB162" s="280" t="s">
        <v>381</v>
      </c>
      <c r="AC162" s="281">
        <f>AA156+AC161</f>
        <v>93.169999999999987</v>
      </c>
    </row>
    <row r="163" spans="1:29">
      <c r="A163" s="85"/>
      <c r="B163" s="160"/>
      <c r="E163" s="161"/>
      <c r="F163" s="274"/>
      <c r="G163" s="64"/>
      <c r="H163" s="162"/>
      <c r="I163" s="162"/>
      <c r="J163" s="160"/>
      <c r="K163" s="156"/>
      <c r="Z163" s="192" t="s">
        <v>329</v>
      </c>
      <c r="AA163" s="306">
        <v>4.5999999999999996</v>
      </c>
    </row>
    <row r="164" spans="1:29">
      <c r="B164" s="160"/>
      <c r="E164" s="161"/>
      <c r="F164" s="274"/>
      <c r="G164" s="105" t="s">
        <v>413</v>
      </c>
      <c r="H164" s="162"/>
      <c r="I164" s="162"/>
      <c r="J164" s="160"/>
      <c r="K164" s="156"/>
      <c r="Q164" s="226"/>
      <c r="R164" s="226"/>
      <c r="W164" s="159"/>
      <c r="Z164" s="192" t="s">
        <v>330</v>
      </c>
      <c r="AA164" s="306">
        <v>9.49</v>
      </c>
      <c r="AC164" s="190"/>
    </row>
    <row r="165" spans="1:29">
      <c r="B165" s="160"/>
      <c r="E165" s="161"/>
      <c r="F165" s="274"/>
      <c r="G165" s="105"/>
      <c r="H165" s="162"/>
      <c r="I165" s="162"/>
      <c r="J165" s="160"/>
      <c r="Q165" s="226"/>
      <c r="R165" s="226"/>
      <c r="W165" s="159"/>
      <c r="Z165" s="192" t="s">
        <v>220</v>
      </c>
      <c r="AA165" s="306">
        <v>1.4</v>
      </c>
    </row>
    <row r="166" spans="1:29">
      <c r="A166" s="86"/>
      <c r="B166" s="111"/>
      <c r="C166" s="87"/>
      <c r="D166" s="88"/>
      <c r="E166" s="112"/>
      <c r="F166" s="290"/>
      <c r="G166" s="157"/>
      <c r="H166" s="113"/>
      <c r="I166" s="113"/>
      <c r="J166" s="111"/>
      <c r="K166" s="92"/>
      <c r="L166" s="231"/>
      <c r="M166" s="231"/>
      <c r="N166" s="231"/>
      <c r="O166" s="231"/>
      <c r="P166" s="231"/>
      <c r="Q166" s="202"/>
      <c r="R166" s="202"/>
      <c r="S166" s="231"/>
      <c r="T166" s="231"/>
      <c r="U166" s="231"/>
      <c r="V166" s="231"/>
      <c r="W166" s="94"/>
      <c r="X166" s="88"/>
      <c r="Z166" s="192" t="s">
        <v>357</v>
      </c>
      <c r="AA166" s="306">
        <v>2.72</v>
      </c>
      <c r="AB166" s="273"/>
    </row>
    <row r="167" spans="1:29" ht="37.5">
      <c r="B167" s="160" t="s">
        <v>1</v>
      </c>
      <c r="C167" s="158">
        <v>2</v>
      </c>
      <c r="E167" s="161" t="s">
        <v>25</v>
      </c>
      <c r="F167" s="274">
        <v>25</v>
      </c>
      <c r="G167" s="303" t="s">
        <v>26</v>
      </c>
      <c r="H167" s="162"/>
      <c r="I167" s="162"/>
      <c r="J167" s="160" t="s">
        <v>2</v>
      </c>
      <c r="K167" s="156"/>
      <c r="L167" s="300">
        <f>L156</f>
        <v>60.01</v>
      </c>
      <c r="M167" s="226">
        <f>L167+O167+P167</f>
        <v>49.02</v>
      </c>
      <c r="N167" s="226">
        <f>L167+P167</f>
        <v>54.86</v>
      </c>
      <c r="O167" s="226">
        <f>O156</f>
        <v>-5.84</v>
      </c>
      <c r="P167" s="226">
        <f>P156</f>
        <v>-5.15</v>
      </c>
      <c r="Q167" s="226">
        <f>Q156</f>
        <v>13.4</v>
      </c>
      <c r="R167" s="226">
        <f>R156</f>
        <v>18.36</v>
      </c>
      <c r="S167" s="226">
        <f>S156</f>
        <v>1.4</v>
      </c>
      <c r="U167" s="226">
        <f>U156</f>
        <v>33.159999999999997</v>
      </c>
      <c r="V167" s="226">
        <f>L167+U167</f>
        <v>93.169999999999987</v>
      </c>
      <c r="W167" s="159">
        <f>W156</f>
        <v>0.21</v>
      </c>
    </row>
    <row r="168" spans="1:29">
      <c r="A168" s="85">
        <v>1970</v>
      </c>
      <c r="B168" s="305" t="str">
        <f>B157</f>
        <v>(effective May 1, 2025)</v>
      </c>
      <c r="E168" s="161"/>
      <c r="F168" s="274"/>
      <c r="H168" s="162"/>
      <c r="I168" s="162"/>
      <c r="J168" s="160"/>
      <c r="K168" s="156" t="s">
        <v>32</v>
      </c>
      <c r="L168" s="226">
        <f t="shared" ref="L168:S168" si="4">L167*1.5</f>
        <v>90.015000000000001</v>
      </c>
      <c r="M168" s="226">
        <f t="shared" si="4"/>
        <v>73.53</v>
      </c>
      <c r="N168" s="226">
        <f t="shared" si="4"/>
        <v>82.289999999999992</v>
      </c>
      <c r="O168" s="226">
        <f t="shared" si="4"/>
        <v>-8.76</v>
      </c>
      <c r="P168" s="226">
        <f t="shared" si="4"/>
        <v>-7.7250000000000005</v>
      </c>
      <c r="Q168" s="226">
        <f t="shared" si="4"/>
        <v>20.100000000000001</v>
      </c>
      <c r="R168" s="226">
        <f t="shared" si="4"/>
        <v>27.54</v>
      </c>
      <c r="S168" s="226">
        <f t="shared" si="4"/>
        <v>2.0999999999999996</v>
      </c>
      <c r="U168" s="226">
        <f>U167*1.5</f>
        <v>49.739999999999995</v>
      </c>
      <c r="W168" s="159">
        <f>W167*1.5</f>
        <v>0.315</v>
      </c>
    </row>
    <row r="169" spans="1:29">
      <c r="A169" s="85" t="s">
        <v>53</v>
      </c>
      <c r="B169" s="160"/>
      <c r="E169" s="161"/>
      <c r="F169" s="274"/>
      <c r="G169" s="80"/>
      <c r="H169" s="162"/>
      <c r="I169" s="162"/>
      <c r="J169" s="160"/>
    </row>
    <row r="170" spans="1:29">
      <c r="A170" s="85">
        <v>1971</v>
      </c>
      <c r="B170" s="160"/>
      <c r="E170" s="161"/>
      <c r="F170" s="274"/>
      <c r="G170" s="64" t="str">
        <f>G159</f>
        <v>Provided that after all taxes are paid, a working dues deduction of $4.65/hr straight time, $6.98/hr overtime from the employee's earnings shall be sent to union fringe funds.</v>
      </c>
      <c r="H170" s="162"/>
      <c r="I170" s="162"/>
      <c r="J170" s="160"/>
    </row>
    <row r="171" spans="1:29">
      <c r="A171" s="85" t="s">
        <v>54</v>
      </c>
      <c r="F171" s="274"/>
      <c r="G171" s="64"/>
    </row>
    <row r="172" spans="1:29">
      <c r="A172" s="85">
        <v>1972</v>
      </c>
      <c r="F172" s="274"/>
      <c r="G172" s="64" t="str">
        <f>G161</f>
        <v xml:space="preserve">Provided that in ADDITION to the Local Pension Contributions shown above, $2.72 per hour for all hours worked shall be sent directly to the Plumbers National Pension Fund. </v>
      </c>
    </row>
    <row r="173" spans="1:29">
      <c r="A173" s="85"/>
      <c r="F173" s="274"/>
      <c r="G173" s="64" t="s">
        <v>177</v>
      </c>
    </row>
    <row r="174" spans="1:29">
      <c r="A174" s="85"/>
      <c r="F174" s="274"/>
      <c r="G174" s="64"/>
    </row>
    <row r="175" spans="1:29">
      <c r="A175" s="85"/>
      <c r="F175" s="274"/>
      <c r="G175" s="105" t="s">
        <v>413</v>
      </c>
    </row>
    <row r="176" spans="1:29">
      <c r="A176" s="117"/>
      <c r="B176" s="86"/>
      <c r="C176" s="87"/>
      <c r="D176" s="88"/>
      <c r="E176" s="114"/>
      <c r="F176" s="290"/>
      <c r="G176" s="105"/>
      <c r="H176" s="88"/>
      <c r="I176" s="88"/>
      <c r="J176" s="86"/>
      <c r="K176" s="86"/>
      <c r="L176" s="231"/>
      <c r="M176" s="231"/>
      <c r="N176" s="231"/>
      <c r="O176" s="231"/>
      <c r="P176" s="231"/>
      <c r="Q176" s="202"/>
      <c r="R176" s="202"/>
      <c r="S176" s="231"/>
      <c r="T176" s="231"/>
      <c r="U176" s="231"/>
      <c r="V176" s="231"/>
      <c r="W176" s="94"/>
      <c r="X176" s="88"/>
    </row>
    <row r="177" spans="1:27" ht="37.5">
      <c r="B177" s="160" t="s">
        <v>1</v>
      </c>
      <c r="C177" s="158">
        <v>2</v>
      </c>
      <c r="E177" s="161" t="s">
        <v>12</v>
      </c>
      <c r="F177" s="274">
        <v>22</v>
      </c>
      <c r="G177" s="303" t="s">
        <v>37</v>
      </c>
      <c r="H177" s="162">
        <v>511</v>
      </c>
      <c r="I177" s="162">
        <v>8</v>
      </c>
      <c r="J177" s="160" t="s">
        <v>2</v>
      </c>
      <c r="K177" s="156"/>
      <c r="L177" s="300">
        <f>L156+T177</f>
        <v>64.459999999999994</v>
      </c>
      <c r="M177" s="226">
        <f>L177+O177+P177</f>
        <v>53.469999999999992</v>
      </c>
      <c r="N177" s="226">
        <f>L177+P177</f>
        <v>59.309999999999995</v>
      </c>
      <c r="O177" s="226">
        <f>O156</f>
        <v>-5.84</v>
      </c>
      <c r="P177" s="226">
        <f>P156</f>
        <v>-5.15</v>
      </c>
      <c r="Q177" s="226">
        <f>Q156</f>
        <v>13.4</v>
      </c>
      <c r="R177" s="226">
        <f>R156</f>
        <v>18.36</v>
      </c>
      <c r="S177" s="226">
        <f>S156</f>
        <v>1.4</v>
      </c>
      <c r="T177" s="226">
        <f>AA180</f>
        <v>4.45</v>
      </c>
      <c r="U177" s="226">
        <f>U156</f>
        <v>33.159999999999997</v>
      </c>
      <c r="V177" s="226">
        <f>L177+U177</f>
        <v>97.61999999999999</v>
      </c>
      <c r="W177" s="159">
        <f>W156</f>
        <v>0.21</v>
      </c>
    </row>
    <row r="178" spans="1:27">
      <c r="A178" s="85">
        <v>1970</v>
      </c>
      <c r="B178" s="305" t="str">
        <f>B157</f>
        <v>(effective May 1, 2025)</v>
      </c>
      <c r="E178" s="161"/>
      <c r="F178" s="274"/>
      <c r="H178" s="162"/>
      <c r="I178" s="162"/>
      <c r="J178" s="160"/>
      <c r="K178" s="156" t="s">
        <v>32</v>
      </c>
      <c r="L178" s="226">
        <f t="shared" ref="L178:S178" si="5">L177*1.5</f>
        <v>96.69</v>
      </c>
      <c r="M178" s="226">
        <f>M177*1.5</f>
        <v>80.204999999999984</v>
      </c>
      <c r="N178" s="226">
        <f>N177*1.5</f>
        <v>88.964999999999989</v>
      </c>
      <c r="O178" s="226">
        <f t="shared" si="5"/>
        <v>-8.76</v>
      </c>
      <c r="P178" s="226">
        <f t="shared" si="5"/>
        <v>-7.7250000000000005</v>
      </c>
      <c r="Q178" s="226">
        <f t="shared" si="5"/>
        <v>20.100000000000001</v>
      </c>
      <c r="R178" s="226">
        <f t="shared" si="5"/>
        <v>27.54</v>
      </c>
      <c r="S178" s="226">
        <f t="shared" si="5"/>
        <v>2.0999999999999996</v>
      </c>
      <c r="U178" s="226">
        <f>U177*1.5</f>
        <v>49.739999999999995</v>
      </c>
      <c r="W178" s="159">
        <f>W177*1.5</f>
        <v>0.315</v>
      </c>
    </row>
    <row r="179" spans="1:27">
      <c r="A179" s="85" t="s">
        <v>53</v>
      </c>
      <c r="B179" s="160"/>
      <c r="E179" s="161"/>
      <c r="F179" s="274"/>
      <c r="G179" s="80"/>
      <c r="H179" s="162"/>
      <c r="I179" s="162"/>
      <c r="J179" s="160"/>
      <c r="K179" s="156"/>
      <c r="Q179" s="226"/>
      <c r="R179" s="226"/>
      <c r="W179" s="159"/>
      <c r="Z179" s="192" t="s">
        <v>378</v>
      </c>
      <c r="AA179" s="198">
        <f>AA160+AA180</f>
        <v>53.470000000000006</v>
      </c>
    </row>
    <row r="180" spans="1:27">
      <c r="A180" s="85">
        <v>1971</v>
      </c>
      <c r="B180" s="160"/>
      <c r="E180" s="161"/>
      <c r="F180" s="274"/>
      <c r="G180" s="64" t="str">
        <f>G159</f>
        <v>Provided that after all taxes are paid, a working dues deduction of $4.65/hr straight time, $6.98/hr overtime from the employee's earnings shall be sent to union fringe funds.</v>
      </c>
      <c r="H180" s="162"/>
      <c r="I180" s="162"/>
      <c r="J180" s="160"/>
      <c r="K180" s="156"/>
      <c r="Q180" s="226"/>
      <c r="R180" s="226"/>
      <c r="W180" s="159"/>
      <c r="Z180" s="192" t="s">
        <v>312</v>
      </c>
      <c r="AA180" s="306">
        <v>4.45</v>
      </c>
    </row>
    <row r="181" spans="1:27">
      <c r="A181" s="85" t="s">
        <v>54</v>
      </c>
      <c r="B181" s="160"/>
      <c r="E181" s="161"/>
      <c r="F181" s="274"/>
      <c r="G181" s="64"/>
      <c r="H181" s="162"/>
      <c r="I181" s="162"/>
      <c r="J181" s="160"/>
      <c r="K181" s="156"/>
      <c r="Q181" s="226"/>
      <c r="R181" s="226"/>
      <c r="W181" s="159"/>
    </row>
    <row r="182" spans="1:27">
      <c r="A182" s="85">
        <v>1972</v>
      </c>
      <c r="B182" s="160"/>
      <c r="E182" s="161"/>
      <c r="F182" s="274"/>
      <c r="G182" s="64" t="str">
        <f>G161</f>
        <v xml:space="preserve">Provided that in ADDITION to the Local Pension Contributions shown above, $2.72 per hour for all hours worked shall be sent directly to the Plumbers National Pension Fund. </v>
      </c>
      <c r="H182" s="162"/>
      <c r="I182" s="162"/>
      <c r="J182" s="160"/>
      <c r="K182" s="156"/>
      <c r="Q182" s="226"/>
      <c r="R182" s="226"/>
      <c r="W182" s="159"/>
    </row>
    <row r="183" spans="1:27">
      <c r="A183" s="85"/>
      <c r="B183" s="160"/>
      <c r="E183" s="161"/>
      <c r="F183" s="274"/>
      <c r="G183" s="64" t="s">
        <v>177</v>
      </c>
      <c r="H183" s="162"/>
      <c r="I183" s="162"/>
      <c r="J183" s="160"/>
      <c r="K183" s="156"/>
      <c r="Q183" s="226"/>
      <c r="R183" s="226"/>
      <c r="W183" s="159"/>
    </row>
    <row r="184" spans="1:27">
      <c r="A184" s="85"/>
      <c r="B184" s="160"/>
      <c r="E184" s="161"/>
      <c r="F184" s="274"/>
      <c r="G184" s="64"/>
      <c r="H184" s="162"/>
      <c r="I184" s="162"/>
      <c r="J184" s="160"/>
      <c r="K184" s="156"/>
      <c r="Q184" s="226"/>
      <c r="R184" s="226"/>
      <c r="W184" s="159"/>
    </row>
    <row r="185" spans="1:27">
      <c r="A185" s="85"/>
      <c r="B185" s="160"/>
      <c r="E185" s="161"/>
      <c r="F185" s="274"/>
      <c r="G185" s="105" t="s">
        <v>413</v>
      </c>
      <c r="H185" s="162"/>
      <c r="I185" s="162"/>
      <c r="J185" s="160"/>
      <c r="K185" s="156"/>
      <c r="Q185" s="226"/>
      <c r="R185" s="226"/>
      <c r="W185" s="159"/>
    </row>
    <row r="186" spans="1:27">
      <c r="A186" s="86"/>
      <c r="B186" s="111"/>
      <c r="C186" s="87"/>
      <c r="D186" s="88"/>
      <c r="E186" s="112"/>
      <c r="F186" s="290"/>
      <c r="G186" s="105"/>
      <c r="H186" s="113"/>
      <c r="I186" s="113"/>
      <c r="J186" s="111"/>
      <c r="K186" s="92"/>
      <c r="L186" s="231"/>
      <c r="M186" s="239"/>
      <c r="N186" s="239"/>
      <c r="O186" s="231"/>
      <c r="P186" s="231"/>
      <c r="Q186" s="202"/>
      <c r="R186" s="202"/>
      <c r="S186" s="231"/>
      <c r="T186" s="231"/>
      <c r="U186" s="231"/>
      <c r="V186" s="231"/>
      <c r="W186" s="94"/>
      <c r="X186" s="88"/>
    </row>
    <row r="187" spans="1:27" ht="18.75">
      <c r="B187" s="160" t="s">
        <v>1</v>
      </c>
      <c r="C187" s="158">
        <v>2</v>
      </c>
      <c r="E187" s="161" t="s">
        <v>13</v>
      </c>
      <c r="F187" s="274">
        <v>13</v>
      </c>
      <c r="G187" s="167" t="s">
        <v>38</v>
      </c>
      <c r="H187" s="162"/>
      <c r="I187" s="162"/>
      <c r="J187" s="160" t="s">
        <v>2</v>
      </c>
      <c r="K187" s="156"/>
      <c r="L187" s="300">
        <f>L156+T187</f>
        <v>66.06</v>
      </c>
      <c r="M187" s="226">
        <f>L187+O187+P187</f>
        <v>55.07</v>
      </c>
      <c r="N187" s="226">
        <f>L187+P187</f>
        <v>60.910000000000004</v>
      </c>
      <c r="O187" s="226">
        <f>O177</f>
        <v>-5.84</v>
      </c>
      <c r="P187" s="226">
        <f>P177</f>
        <v>-5.15</v>
      </c>
      <c r="Q187" s="226">
        <f>Q177</f>
        <v>13.4</v>
      </c>
      <c r="R187" s="226">
        <f>R177</f>
        <v>18.36</v>
      </c>
      <c r="S187" s="226">
        <f>S177</f>
        <v>1.4</v>
      </c>
      <c r="T187" s="226">
        <f>AA189</f>
        <v>6.05</v>
      </c>
      <c r="U187" s="226">
        <f>U177</f>
        <v>33.159999999999997</v>
      </c>
      <c r="V187" s="226">
        <f>L187+U187</f>
        <v>99.22</v>
      </c>
      <c r="W187" s="159">
        <f>W177</f>
        <v>0.21</v>
      </c>
    </row>
    <row r="188" spans="1:27">
      <c r="B188" s="305" t="str">
        <f>B178</f>
        <v>(effective May 1, 2025)</v>
      </c>
      <c r="E188" s="161"/>
      <c r="F188" s="274"/>
      <c r="H188" s="162"/>
      <c r="I188" s="162"/>
      <c r="J188" s="156"/>
      <c r="K188" s="156" t="s">
        <v>32</v>
      </c>
      <c r="L188" s="226">
        <f t="shared" ref="L188:S188" si="6">L187*1.5</f>
        <v>99.09</v>
      </c>
      <c r="M188" s="226">
        <f>M187*1.5</f>
        <v>82.605000000000004</v>
      </c>
      <c r="N188" s="226">
        <f>N187*1.5</f>
        <v>91.365000000000009</v>
      </c>
      <c r="O188" s="226">
        <f t="shared" si="6"/>
        <v>-8.76</v>
      </c>
      <c r="P188" s="226">
        <f t="shared" si="6"/>
        <v>-7.7250000000000005</v>
      </c>
      <c r="Q188" s="226">
        <f t="shared" si="6"/>
        <v>20.100000000000001</v>
      </c>
      <c r="R188" s="226">
        <f t="shared" si="6"/>
        <v>27.54</v>
      </c>
      <c r="S188" s="226">
        <f t="shared" si="6"/>
        <v>2.0999999999999996</v>
      </c>
      <c r="U188" s="226">
        <f>U187*1.5</f>
        <v>49.739999999999995</v>
      </c>
      <c r="W188" s="159">
        <f>W187*1.5</f>
        <v>0.315</v>
      </c>
      <c r="Z188" s="192" t="s">
        <v>379</v>
      </c>
      <c r="AA188" s="198">
        <f>AA189+AA160</f>
        <v>55.07</v>
      </c>
    </row>
    <row r="189" spans="1:27">
      <c r="A189" s="85">
        <v>1970</v>
      </c>
      <c r="B189" s="160"/>
      <c r="E189" s="161"/>
      <c r="F189" s="274"/>
      <c r="G189" s="80"/>
      <c r="H189" s="162"/>
      <c r="I189" s="162"/>
      <c r="J189" s="156"/>
      <c r="K189" s="156"/>
      <c r="M189" s="233"/>
      <c r="N189" s="233"/>
      <c r="Z189" s="192" t="s">
        <v>312</v>
      </c>
      <c r="AA189" s="306">
        <v>6.05</v>
      </c>
    </row>
    <row r="190" spans="1:27">
      <c r="A190" s="85" t="s">
        <v>53</v>
      </c>
      <c r="B190" s="160"/>
      <c r="E190" s="161"/>
      <c r="F190" s="274"/>
      <c r="G190" s="64" t="str">
        <f>G159</f>
        <v>Provided that after all taxes are paid, a working dues deduction of $4.65/hr straight time, $6.98/hr overtime from the employee's earnings shall be sent to union fringe funds.</v>
      </c>
      <c r="H190" s="162"/>
      <c r="I190" s="162"/>
      <c r="J190" s="156"/>
      <c r="K190" s="156"/>
      <c r="M190" s="233"/>
      <c r="N190" s="233"/>
    </row>
    <row r="191" spans="1:27">
      <c r="A191" s="85">
        <v>1971</v>
      </c>
      <c r="B191" s="160"/>
      <c r="E191" s="161"/>
      <c r="F191" s="274"/>
      <c r="G191" s="64"/>
      <c r="H191" s="162"/>
      <c r="I191" s="162"/>
      <c r="J191" s="156"/>
      <c r="K191" s="156"/>
      <c r="M191" s="233"/>
      <c r="N191" s="233"/>
    </row>
    <row r="192" spans="1:27">
      <c r="A192" s="85" t="s">
        <v>54</v>
      </c>
      <c r="F192" s="274"/>
      <c r="G192" s="64" t="str">
        <f>G161</f>
        <v xml:space="preserve">Provided that in ADDITION to the Local Pension Contributions shown above, $2.72 per hour for all hours worked shall be sent directly to the Plumbers National Pension Fund. </v>
      </c>
      <c r="K192" s="156"/>
      <c r="M192" s="233"/>
      <c r="N192" s="233"/>
    </row>
    <row r="193" spans="1:27">
      <c r="A193" s="85" t="s">
        <v>55</v>
      </c>
      <c r="F193" s="274"/>
      <c r="G193" s="64" t="s">
        <v>177</v>
      </c>
    </row>
    <row r="194" spans="1:27">
      <c r="A194" s="85"/>
      <c r="F194" s="274"/>
      <c r="G194" s="64"/>
    </row>
    <row r="195" spans="1:27">
      <c r="A195" s="85"/>
      <c r="F195" s="274"/>
      <c r="G195" s="105" t="s">
        <v>413</v>
      </c>
    </row>
    <row r="196" spans="1:27" s="88" customFormat="1">
      <c r="A196" s="86"/>
      <c r="B196" s="111"/>
      <c r="C196" s="87"/>
      <c r="E196" s="112"/>
      <c r="F196" s="290"/>
      <c r="G196" s="207"/>
      <c r="H196" s="113"/>
      <c r="I196" s="113"/>
      <c r="J196" s="111"/>
      <c r="K196" s="92"/>
      <c r="L196" s="231"/>
      <c r="M196" s="231"/>
      <c r="N196" s="231"/>
      <c r="O196" s="231"/>
      <c r="P196" s="231"/>
      <c r="Q196" s="202"/>
      <c r="R196" s="202"/>
      <c r="S196" s="231"/>
      <c r="T196" s="231"/>
      <c r="U196" s="231"/>
      <c r="V196" s="231"/>
      <c r="W196" s="94"/>
      <c r="Z196" s="202"/>
      <c r="AA196" s="346"/>
    </row>
    <row r="197" spans="1:27">
      <c r="A197" s="164"/>
      <c r="B197" s="102"/>
      <c r="C197" s="95"/>
      <c r="D197" s="149"/>
      <c r="E197" s="101"/>
      <c r="F197" s="291"/>
      <c r="G197" s="105"/>
      <c r="H197" s="110"/>
      <c r="I197" s="110"/>
      <c r="J197" s="102"/>
      <c r="K197" s="97"/>
      <c r="L197" s="232"/>
      <c r="M197" s="232"/>
      <c r="N197" s="232"/>
      <c r="O197" s="232"/>
      <c r="P197" s="232"/>
      <c r="Q197" s="192"/>
      <c r="R197" s="192"/>
      <c r="S197" s="232"/>
      <c r="T197" s="232"/>
      <c r="U197" s="232"/>
      <c r="V197" s="232"/>
      <c r="W197" s="99"/>
      <c r="X197" s="149"/>
    </row>
    <row r="198" spans="1:27">
      <c r="A198" s="164"/>
      <c r="B198" s="102"/>
      <c r="C198" s="95"/>
      <c r="D198" s="149"/>
      <c r="E198" s="101"/>
      <c r="F198" s="291"/>
      <c r="G198" s="105" t="s">
        <v>430</v>
      </c>
      <c r="H198" s="110"/>
      <c r="I198" s="110"/>
      <c r="J198" s="102"/>
      <c r="K198" s="97"/>
      <c r="L198" s="232"/>
      <c r="M198" s="232"/>
      <c r="N198" s="232"/>
      <c r="O198" s="232"/>
      <c r="P198" s="232"/>
      <c r="Q198" s="192"/>
      <c r="R198" s="192"/>
      <c r="S198" s="232"/>
      <c r="T198" s="232"/>
      <c r="U198" s="232"/>
      <c r="V198" s="232"/>
      <c r="W198" s="99"/>
      <c r="X198" s="149"/>
    </row>
    <row r="199" spans="1:27">
      <c r="A199" s="164"/>
      <c r="B199" s="102"/>
      <c r="C199" s="95"/>
      <c r="D199" s="95"/>
      <c r="E199" s="101"/>
      <c r="F199" s="291"/>
      <c r="G199" s="345" t="s">
        <v>414</v>
      </c>
      <c r="H199" s="110"/>
      <c r="I199" s="110"/>
      <c r="J199" s="102"/>
      <c r="K199" s="97"/>
      <c r="L199" s="232"/>
      <c r="M199" s="232"/>
      <c r="N199" s="232"/>
      <c r="O199" s="232"/>
      <c r="P199" s="232"/>
      <c r="Q199" s="232"/>
      <c r="R199" s="232"/>
      <c r="S199" s="232"/>
      <c r="T199" s="232"/>
      <c r="U199" s="232"/>
      <c r="V199" s="232"/>
      <c r="W199" s="98"/>
      <c r="X199" s="149"/>
    </row>
    <row r="200" spans="1:27">
      <c r="A200" s="116"/>
      <c r="B200" s="164"/>
      <c r="C200" s="95"/>
      <c r="D200" s="149"/>
      <c r="E200" s="109"/>
      <c r="F200" s="291"/>
      <c r="G200" s="345" t="s">
        <v>415</v>
      </c>
      <c r="H200" s="149"/>
      <c r="I200" s="149"/>
      <c r="J200" s="164"/>
      <c r="K200" s="164"/>
      <c r="L200" s="232"/>
      <c r="M200" s="232"/>
      <c r="N200" s="232"/>
      <c r="O200" s="232"/>
      <c r="P200" s="232"/>
      <c r="Q200" s="192"/>
      <c r="R200" s="192"/>
      <c r="S200" s="232"/>
      <c r="T200" s="232"/>
      <c r="U200" s="232"/>
      <c r="V200" s="232"/>
      <c r="W200" s="99"/>
      <c r="X200" s="149"/>
    </row>
    <row r="201" spans="1:27">
      <c r="A201" s="164"/>
      <c r="B201" s="102"/>
      <c r="C201" s="95"/>
      <c r="D201" s="95"/>
      <c r="E201" s="101"/>
      <c r="F201" s="291"/>
      <c r="G201" s="345" t="s">
        <v>416</v>
      </c>
      <c r="H201" s="110"/>
      <c r="I201" s="110"/>
      <c r="J201" s="102"/>
      <c r="K201" s="97"/>
      <c r="L201" s="232"/>
      <c r="M201" s="232"/>
      <c r="N201" s="232"/>
      <c r="O201" s="232"/>
      <c r="P201" s="232"/>
      <c r="Q201" s="232"/>
      <c r="R201" s="232"/>
      <c r="S201" s="232"/>
      <c r="T201" s="232"/>
      <c r="U201" s="232"/>
      <c r="V201" s="232"/>
      <c r="W201" s="98"/>
      <c r="X201" s="149"/>
    </row>
    <row r="202" spans="1:27">
      <c r="A202" s="116"/>
      <c r="B202" s="102"/>
      <c r="C202" s="95"/>
      <c r="D202" s="95"/>
      <c r="E202" s="101"/>
      <c r="F202" s="291"/>
      <c r="G202" s="345" t="s">
        <v>417</v>
      </c>
      <c r="H202" s="110"/>
      <c r="I202" s="110"/>
      <c r="J202" s="102"/>
      <c r="K202" s="97"/>
      <c r="L202" s="232"/>
      <c r="M202" s="232"/>
      <c r="N202" s="232"/>
      <c r="O202" s="232"/>
      <c r="P202" s="232"/>
      <c r="Q202" s="232"/>
      <c r="R202" s="232"/>
      <c r="S202" s="232"/>
      <c r="T202" s="232"/>
      <c r="U202" s="232"/>
      <c r="V202" s="232"/>
      <c r="W202" s="98"/>
      <c r="X202" s="149"/>
    </row>
    <row r="203" spans="1:27">
      <c r="A203" s="116"/>
      <c r="B203" s="102"/>
      <c r="C203" s="95"/>
      <c r="D203" s="95"/>
      <c r="E203" s="101"/>
      <c r="F203" s="291"/>
      <c r="G203" s="345" t="s">
        <v>418</v>
      </c>
      <c r="H203" s="110"/>
      <c r="I203" s="110"/>
      <c r="J203" s="102"/>
      <c r="K203" s="97"/>
      <c r="L203" s="232"/>
      <c r="M203" s="232"/>
      <c r="N203" s="232"/>
      <c r="O203" s="232"/>
      <c r="P203" s="232"/>
      <c r="Q203" s="232"/>
      <c r="R203" s="232"/>
      <c r="S203" s="232"/>
      <c r="T203" s="232"/>
      <c r="U203" s="232"/>
      <c r="V203" s="232"/>
      <c r="W203" s="98"/>
      <c r="X203" s="149"/>
    </row>
    <row r="204" spans="1:27">
      <c r="A204" s="116"/>
      <c r="B204" s="102"/>
      <c r="C204" s="95"/>
      <c r="D204" s="95"/>
      <c r="E204" s="101"/>
      <c r="F204" s="291"/>
      <c r="G204" s="345" t="s">
        <v>419</v>
      </c>
      <c r="H204" s="110"/>
      <c r="I204" s="110"/>
      <c r="J204" s="102"/>
      <c r="K204" s="97"/>
      <c r="L204" s="232"/>
      <c r="M204" s="232"/>
      <c r="N204" s="232"/>
      <c r="O204" s="232"/>
      <c r="P204" s="232"/>
      <c r="Q204" s="232"/>
      <c r="R204" s="232"/>
      <c r="S204" s="232"/>
      <c r="T204" s="232"/>
      <c r="U204" s="232"/>
      <c r="V204" s="232"/>
      <c r="W204" s="98"/>
      <c r="X204" s="149"/>
    </row>
    <row r="205" spans="1:27">
      <c r="A205" s="116"/>
      <c r="B205" s="102"/>
      <c r="C205" s="95"/>
      <c r="D205" s="95"/>
      <c r="E205" s="101"/>
      <c r="F205" s="291"/>
      <c r="G205" s="157"/>
      <c r="H205" s="110"/>
      <c r="I205" s="110"/>
      <c r="J205" s="102"/>
      <c r="K205" s="97"/>
      <c r="L205" s="232"/>
      <c r="M205" s="232"/>
      <c r="N205" s="232"/>
      <c r="O205" s="232"/>
      <c r="P205" s="232"/>
      <c r="Q205" s="232"/>
      <c r="R205" s="232"/>
      <c r="S205" s="232"/>
      <c r="T205" s="232"/>
      <c r="U205" s="232"/>
      <c r="V205" s="232"/>
      <c r="W205" s="98"/>
      <c r="X205" s="149"/>
    </row>
    <row r="206" spans="1:27">
      <c r="A206" s="116"/>
      <c r="B206" s="102"/>
      <c r="C206" s="95"/>
      <c r="D206" s="95"/>
      <c r="E206" s="101"/>
      <c r="F206" s="291"/>
      <c r="G206" s="105" t="s">
        <v>427</v>
      </c>
      <c r="H206" s="110"/>
      <c r="I206" s="110"/>
      <c r="J206" s="102"/>
      <c r="K206" s="97"/>
      <c r="L206" s="232"/>
      <c r="M206" s="232"/>
      <c r="N206" s="232"/>
      <c r="O206" s="232"/>
      <c r="P206" s="232"/>
      <c r="Q206" s="232"/>
      <c r="R206" s="232"/>
      <c r="S206" s="232"/>
      <c r="T206" s="232"/>
      <c r="U206" s="232"/>
      <c r="V206" s="232"/>
      <c r="W206" s="98"/>
      <c r="X206" s="149"/>
    </row>
    <row r="207" spans="1:27">
      <c r="A207" s="116"/>
      <c r="B207" s="102"/>
      <c r="C207" s="95"/>
      <c r="D207" s="95"/>
      <c r="E207" s="101"/>
      <c r="F207" s="291"/>
      <c r="G207" s="105" t="s">
        <v>428</v>
      </c>
      <c r="H207" s="110"/>
      <c r="I207" s="110"/>
      <c r="J207" s="102"/>
      <c r="K207" s="97"/>
      <c r="L207" s="232"/>
      <c r="M207" s="232"/>
      <c r="N207" s="232"/>
      <c r="O207" s="232"/>
      <c r="P207" s="232"/>
      <c r="Q207" s="232"/>
      <c r="R207" s="232"/>
      <c r="S207" s="232"/>
      <c r="T207" s="232"/>
      <c r="U207" s="232"/>
      <c r="V207" s="232"/>
      <c r="W207" s="98"/>
      <c r="X207" s="149"/>
    </row>
    <row r="208" spans="1:27">
      <c r="A208" s="116"/>
      <c r="B208" s="102"/>
      <c r="C208" s="95"/>
      <c r="D208" s="95"/>
      <c r="E208" s="101"/>
      <c r="F208" s="291"/>
      <c r="G208" s="105" t="s">
        <v>429</v>
      </c>
      <c r="H208" s="110"/>
      <c r="I208" s="110"/>
      <c r="J208" s="102"/>
      <c r="K208" s="97"/>
      <c r="L208" s="232"/>
      <c r="M208" s="232"/>
      <c r="N208" s="232"/>
      <c r="O208" s="232"/>
      <c r="P208" s="232"/>
      <c r="Q208" s="232"/>
      <c r="R208" s="232"/>
      <c r="S208" s="232"/>
      <c r="T208" s="232"/>
      <c r="U208" s="232"/>
      <c r="V208" s="232"/>
      <c r="W208" s="98"/>
      <c r="X208" s="149"/>
    </row>
    <row r="209" spans="1:24">
      <c r="A209" s="116"/>
      <c r="B209" s="102"/>
      <c r="C209" s="95"/>
      <c r="D209" s="95"/>
      <c r="E209" s="101"/>
      <c r="F209" s="291"/>
      <c r="G209" s="105" t="s">
        <v>431</v>
      </c>
      <c r="H209" s="110"/>
      <c r="I209" s="110"/>
      <c r="J209" s="102"/>
      <c r="K209" s="97"/>
      <c r="L209" s="232"/>
      <c r="M209" s="232"/>
      <c r="N209" s="232"/>
      <c r="O209" s="232"/>
      <c r="P209" s="232"/>
      <c r="Q209" s="232"/>
      <c r="R209" s="232"/>
      <c r="S209" s="232"/>
      <c r="T209" s="232"/>
      <c r="U209" s="232"/>
      <c r="V209" s="232"/>
      <c r="W209" s="98"/>
      <c r="X209" s="149"/>
    </row>
    <row r="210" spans="1:24">
      <c r="A210" s="116"/>
      <c r="B210" s="102"/>
      <c r="C210" s="95"/>
      <c r="D210" s="95"/>
      <c r="E210" s="101"/>
      <c r="F210" s="291"/>
      <c r="G210" s="345" t="s">
        <v>420</v>
      </c>
      <c r="H210" s="110"/>
      <c r="I210" s="110"/>
      <c r="J210" s="102"/>
      <c r="K210" s="97"/>
      <c r="L210" s="232"/>
      <c r="M210" s="232"/>
      <c r="N210" s="232"/>
      <c r="O210" s="232"/>
      <c r="P210" s="232"/>
      <c r="Q210" s="232"/>
      <c r="R210" s="232"/>
      <c r="S210" s="232"/>
      <c r="T210" s="232"/>
      <c r="U210" s="232"/>
      <c r="V210" s="232"/>
      <c r="W210" s="98"/>
      <c r="X210" s="149"/>
    </row>
    <row r="211" spans="1:24">
      <c r="A211" s="116"/>
      <c r="B211" s="102"/>
      <c r="C211" s="95"/>
      <c r="D211" s="95"/>
      <c r="E211" s="101"/>
      <c r="F211" s="291"/>
      <c r="G211" s="345" t="s">
        <v>421</v>
      </c>
      <c r="H211" s="110"/>
      <c r="I211" s="110"/>
      <c r="J211" s="102"/>
      <c r="K211" s="97"/>
      <c r="L211" s="232"/>
      <c r="M211" s="232"/>
      <c r="N211" s="232"/>
      <c r="O211" s="232"/>
      <c r="P211" s="232"/>
      <c r="Q211" s="232"/>
      <c r="R211" s="232"/>
      <c r="S211" s="232"/>
      <c r="T211" s="232"/>
      <c r="U211" s="232"/>
      <c r="V211" s="232"/>
      <c r="W211" s="98"/>
      <c r="X211" s="149"/>
    </row>
    <row r="212" spans="1:24">
      <c r="A212" s="116"/>
      <c r="B212" s="102"/>
      <c r="C212" s="95"/>
      <c r="D212" s="95"/>
      <c r="E212" s="101"/>
      <c r="F212" s="291"/>
      <c r="G212" s="345" t="s">
        <v>422</v>
      </c>
      <c r="H212" s="110"/>
      <c r="I212" s="110"/>
      <c r="J212" s="102"/>
      <c r="K212" s="97"/>
      <c r="L212" s="232"/>
      <c r="M212" s="232"/>
      <c r="N212" s="232"/>
      <c r="O212" s="232"/>
      <c r="P212" s="232"/>
      <c r="Q212" s="232"/>
      <c r="R212" s="232"/>
      <c r="S212" s="232"/>
      <c r="T212" s="232"/>
      <c r="U212" s="232"/>
      <c r="V212" s="232"/>
      <c r="W212" s="98"/>
      <c r="X212" s="149"/>
    </row>
    <row r="213" spans="1:24">
      <c r="A213" s="164"/>
      <c r="B213" s="102"/>
      <c r="C213" s="95"/>
      <c r="D213" s="149"/>
      <c r="E213" s="101"/>
      <c r="F213" s="291"/>
      <c r="G213" s="345" t="s">
        <v>423</v>
      </c>
      <c r="H213" s="110"/>
      <c r="I213" s="110"/>
      <c r="J213" s="102"/>
      <c r="K213" s="97"/>
      <c r="L213" s="232"/>
      <c r="M213" s="234"/>
      <c r="N213" s="234"/>
      <c r="O213" s="232"/>
      <c r="P213" s="232"/>
      <c r="Q213" s="192"/>
      <c r="R213" s="192"/>
      <c r="S213" s="232"/>
      <c r="T213" s="232"/>
      <c r="U213" s="232"/>
      <c r="V213" s="232"/>
      <c r="W213" s="99"/>
      <c r="X213" s="149"/>
    </row>
    <row r="214" spans="1:24">
      <c r="A214" s="164"/>
      <c r="B214" s="102"/>
      <c r="C214" s="95"/>
      <c r="D214" s="149"/>
      <c r="E214" s="101"/>
      <c r="F214" s="291"/>
      <c r="G214" s="345" t="s">
        <v>424</v>
      </c>
      <c r="H214" s="110"/>
      <c r="I214" s="110"/>
      <c r="J214" s="102"/>
      <c r="K214" s="97"/>
      <c r="L214" s="232"/>
      <c r="M214" s="234"/>
      <c r="N214" s="234"/>
      <c r="O214" s="232"/>
      <c r="P214" s="232"/>
      <c r="Q214" s="192"/>
      <c r="R214" s="192"/>
      <c r="S214" s="232"/>
      <c r="T214" s="232"/>
      <c r="U214" s="232"/>
      <c r="V214" s="232"/>
      <c r="W214" s="99"/>
      <c r="X214" s="149"/>
    </row>
    <row r="215" spans="1:24">
      <c r="A215" s="164"/>
      <c r="B215" s="102"/>
      <c r="C215" s="95"/>
      <c r="D215" s="95"/>
      <c r="E215" s="101"/>
      <c r="F215" s="291"/>
      <c r="G215" s="345" t="s">
        <v>425</v>
      </c>
      <c r="H215" s="110"/>
      <c r="I215" s="110"/>
      <c r="J215" s="102"/>
      <c r="K215" s="97"/>
      <c r="L215" s="232"/>
      <c r="M215" s="232"/>
      <c r="N215" s="232"/>
      <c r="O215" s="232"/>
      <c r="P215" s="232"/>
      <c r="Q215" s="232"/>
      <c r="R215" s="232"/>
      <c r="S215" s="232"/>
      <c r="T215" s="232"/>
      <c r="U215" s="232"/>
      <c r="V215" s="232"/>
      <c r="W215" s="98"/>
      <c r="X215" s="149"/>
    </row>
    <row r="216" spans="1:24">
      <c r="A216" s="164"/>
      <c r="B216" s="102"/>
      <c r="C216" s="95"/>
      <c r="D216" s="95"/>
      <c r="E216" s="101"/>
      <c r="F216" s="291"/>
      <c r="G216" s="157"/>
      <c r="H216" s="110"/>
      <c r="I216" s="110"/>
      <c r="J216" s="97"/>
      <c r="K216" s="97"/>
      <c r="L216" s="232"/>
      <c r="M216" s="232"/>
      <c r="N216" s="232"/>
      <c r="O216" s="232"/>
      <c r="P216" s="232"/>
      <c r="Q216" s="232"/>
      <c r="R216" s="232"/>
      <c r="S216" s="232"/>
      <c r="T216" s="232"/>
      <c r="U216" s="232"/>
      <c r="V216" s="232"/>
      <c r="W216" s="98"/>
      <c r="X216" s="149"/>
    </row>
    <row r="217" spans="1:24">
      <c r="A217" s="116"/>
      <c r="B217" s="102"/>
      <c r="C217" s="95"/>
      <c r="D217" s="95"/>
      <c r="E217" s="101"/>
      <c r="F217" s="291"/>
      <c r="G217" s="157"/>
      <c r="H217" s="110"/>
      <c r="I217" s="110"/>
      <c r="J217" s="97"/>
      <c r="K217" s="97"/>
      <c r="L217" s="232"/>
      <c r="M217" s="234"/>
      <c r="N217" s="234"/>
      <c r="O217" s="232"/>
      <c r="P217" s="232"/>
      <c r="Q217" s="192"/>
      <c r="R217" s="192"/>
      <c r="S217" s="232"/>
      <c r="T217" s="232"/>
      <c r="U217" s="232"/>
      <c r="V217" s="232"/>
      <c r="W217" s="99"/>
      <c r="X217" s="149"/>
    </row>
    <row r="218" spans="1:24">
      <c r="A218" s="116"/>
      <c r="B218" s="102"/>
      <c r="C218" s="95"/>
      <c r="D218" s="95"/>
      <c r="E218" s="101"/>
      <c r="F218" s="291"/>
      <c r="G218" s="157"/>
      <c r="H218" s="110"/>
      <c r="I218" s="110"/>
      <c r="J218" s="97"/>
      <c r="K218" s="97"/>
      <c r="L218" s="232"/>
      <c r="M218" s="234"/>
      <c r="N218" s="234"/>
      <c r="O218" s="232"/>
      <c r="P218" s="232"/>
      <c r="Q218" s="192"/>
      <c r="R218" s="192"/>
      <c r="S218" s="232"/>
      <c r="T218" s="232"/>
      <c r="U218" s="232"/>
      <c r="V218" s="232"/>
      <c r="W218" s="99"/>
      <c r="X218" s="149"/>
    </row>
    <row r="219" spans="1:24">
      <c r="A219" s="116"/>
      <c r="B219" s="102"/>
      <c r="C219" s="95"/>
      <c r="D219" s="95"/>
      <c r="E219" s="101"/>
      <c r="F219" s="291"/>
      <c r="G219" s="157"/>
      <c r="H219" s="110"/>
      <c r="I219" s="110"/>
      <c r="J219" s="97"/>
      <c r="K219" s="97"/>
      <c r="L219" s="232"/>
      <c r="M219" s="234"/>
      <c r="N219" s="234"/>
      <c r="O219" s="232"/>
      <c r="P219" s="232"/>
      <c r="Q219" s="192"/>
      <c r="R219" s="192"/>
      <c r="S219" s="232"/>
      <c r="T219" s="232"/>
      <c r="U219" s="232"/>
      <c r="V219" s="232"/>
      <c r="W219" s="99"/>
      <c r="X219" s="149"/>
    </row>
    <row r="220" spans="1:24">
      <c r="A220" s="116"/>
      <c r="B220" s="164"/>
      <c r="C220" s="95"/>
      <c r="D220" s="95"/>
      <c r="E220" s="109"/>
      <c r="F220" s="291"/>
      <c r="G220" s="115"/>
      <c r="H220" s="149"/>
      <c r="I220" s="149"/>
      <c r="J220" s="164"/>
      <c r="K220" s="97"/>
      <c r="L220" s="232"/>
      <c r="M220" s="234"/>
      <c r="N220" s="234"/>
      <c r="O220" s="232"/>
      <c r="P220" s="232"/>
      <c r="Q220" s="192"/>
      <c r="R220" s="192"/>
      <c r="S220" s="232"/>
      <c r="T220" s="232"/>
      <c r="U220" s="232"/>
      <c r="V220" s="232"/>
      <c r="W220" s="99"/>
      <c r="X220" s="149"/>
    </row>
    <row r="221" spans="1:24">
      <c r="A221" s="116"/>
      <c r="B221" s="164"/>
      <c r="C221" s="95"/>
      <c r="D221" s="95"/>
      <c r="E221" s="109"/>
      <c r="F221" s="291"/>
      <c r="G221" s="157"/>
      <c r="H221" s="149"/>
      <c r="I221" s="149"/>
      <c r="J221" s="164"/>
      <c r="K221" s="164"/>
      <c r="L221" s="232"/>
      <c r="M221" s="232"/>
      <c r="N221" s="232"/>
      <c r="O221" s="232"/>
      <c r="P221" s="232"/>
      <c r="Q221" s="192"/>
      <c r="R221" s="192"/>
      <c r="S221" s="232"/>
      <c r="T221" s="232"/>
      <c r="U221" s="232"/>
      <c r="V221" s="232"/>
      <c r="W221" s="99"/>
      <c r="X221" s="149"/>
    </row>
    <row r="222" spans="1:24">
      <c r="A222" s="116"/>
      <c r="B222" s="164"/>
      <c r="C222" s="95"/>
      <c r="D222" s="95"/>
      <c r="E222" s="109"/>
      <c r="F222" s="291"/>
      <c r="G222" s="115"/>
      <c r="H222" s="149"/>
      <c r="I222" s="149"/>
      <c r="J222" s="164"/>
      <c r="K222" s="164"/>
      <c r="L222" s="232"/>
      <c r="M222" s="232"/>
      <c r="N222" s="232"/>
      <c r="O222" s="232"/>
      <c r="P222" s="232"/>
      <c r="Q222" s="192"/>
      <c r="R222" s="192"/>
      <c r="S222" s="232"/>
      <c r="T222" s="232"/>
      <c r="U222" s="232"/>
      <c r="V222" s="232"/>
      <c r="W222" s="99"/>
      <c r="X222" s="149"/>
    </row>
    <row r="223" spans="1:24">
      <c r="A223" s="116"/>
      <c r="B223" s="164"/>
      <c r="C223" s="95"/>
      <c r="D223" s="95"/>
      <c r="E223" s="109"/>
      <c r="F223" s="291"/>
      <c r="G223" s="157"/>
      <c r="H223" s="149"/>
      <c r="I223" s="149"/>
      <c r="J223" s="164"/>
      <c r="K223" s="164"/>
      <c r="L223" s="232"/>
      <c r="M223" s="232"/>
      <c r="N223" s="232"/>
      <c r="O223" s="232"/>
      <c r="P223" s="232"/>
      <c r="Q223" s="192"/>
      <c r="R223" s="192"/>
      <c r="S223" s="232"/>
      <c r="T223" s="232"/>
      <c r="U223" s="232"/>
      <c r="V223" s="232"/>
      <c r="W223" s="99"/>
      <c r="X223" s="149"/>
    </row>
    <row r="224" spans="1:24">
      <c r="A224" s="164"/>
      <c r="B224" s="102"/>
      <c r="C224" s="95"/>
      <c r="D224" s="149"/>
      <c r="E224" s="101"/>
      <c r="F224" s="291"/>
      <c r="G224" s="157"/>
      <c r="H224" s="110"/>
      <c r="I224" s="110"/>
      <c r="J224" s="102"/>
      <c r="K224" s="97"/>
      <c r="L224" s="232"/>
      <c r="M224" s="232"/>
      <c r="N224" s="232"/>
      <c r="O224" s="232"/>
      <c r="P224" s="232"/>
      <c r="Q224" s="192"/>
      <c r="R224" s="192"/>
      <c r="S224" s="232"/>
      <c r="T224" s="232"/>
      <c r="U224" s="232"/>
      <c r="V224" s="232"/>
      <c r="W224" s="99"/>
      <c r="X224" s="149"/>
    </row>
    <row r="225" spans="1:24">
      <c r="A225" s="164"/>
      <c r="B225" s="102"/>
      <c r="C225" s="95"/>
      <c r="D225" s="149"/>
      <c r="E225" s="101"/>
      <c r="F225" s="291"/>
      <c r="G225" s="105"/>
      <c r="H225" s="110"/>
      <c r="I225" s="110"/>
      <c r="J225" s="102"/>
      <c r="K225" s="97"/>
      <c r="L225" s="232"/>
      <c r="M225" s="232"/>
      <c r="N225" s="232"/>
      <c r="O225" s="232"/>
      <c r="P225" s="232"/>
      <c r="Q225" s="192"/>
      <c r="R225" s="192"/>
      <c r="S225" s="232"/>
      <c r="T225" s="232"/>
      <c r="U225" s="232"/>
      <c r="V225" s="232"/>
      <c r="W225" s="99"/>
      <c r="X225" s="149"/>
    </row>
    <row r="226" spans="1:24">
      <c r="A226" s="164"/>
      <c r="B226" s="164"/>
      <c r="C226" s="157"/>
      <c r="D226" s="157"/>
      <c r="E226" s="96"/>
      <c r="F226" s="298"/>
      <c r="G226" s="115"/>
      <c r="H226" s="44"/>
      <c r="I226" s="44"/>
      <c r="J226" s="95"/>
      <c r="K226" s="97"/>
      <c r="L226" s="234"/>
      <c r="M226" s="234"/>
      <c r="N226" s="234"/>
      <c r="O226" s="232"/>
      <c r="P226" s="232"/>
      <c r="Q226" s="192"/>
      <c r="R226" s="192"/>
      <c r="S226" s="232"/>
      <c r="T226" s="232"/>
      <c r="U226" s="232"/>
      <c r="V226" s="232"/>
      <c r="W226" s="99"/>
      <c r="X226" s="149"/>
    </row>
    <row r="227" spans="1:24">
      <c r="A227" s="164"/>
      <c r="B227" s="102"/>
      <c r="C227" s="157"/>
      <c r="D227" s="157"/>
      <c r="E227" s="96"/>
      <c r="F227" s="298"/>
      <c r="G227" s="84"/>
      <c r="H227" s="44"/>
      <c r="I227" s="44"/>
      <c r="J227" s="95"/>
      <c r="K227" s="97"/>
      <c r="L227" s="234"/>
      <c r="M227" s="234"/>
      <c r="N227" s="234"/>
      <c r="O227" s="232"/>
      <c r="P227" s="232"/>
      <c r="Q227" s="192"/>
      <c r="R227" s="192"/>
      <c r="S227" s="232"/>
      <c r="T227" s="232"/>
      <c r="U227" s="232"/>
      <c r="V227" s="232"/>
      <c r="W227" s="99"/>
      <c r="X227" s="149"/>
    </row>
    <row r="228" spans="1:24">
      <c r="A228" s="164"/>
      <c r="B228" s="102"/>
      <c r="C228" s="157"/>
      <c r="D228" s="157"/>
      <c r="E228" s="96"/>
      <c r="F228" s="298"/>
      <c r="G228" s="84"/>
      <c r="H228" s="44"/>
      <c r="I228" s="44"/>
      <c r="J228" s="95"/>
      <c r="K228" s="97"/>
      <c r="L228" s="234"/>
      <c r="M228" s="234"/>
      <c r="N228" s="234"/>
      <c r="O228" s="232"/>
      <c r="P228" s="232"/>
      <c r="Q228" s="192"/>
      <c r="R228" s="192"/>
      <c r="S228" s="232"/>
      <c r="T228" s="232"/>
      <c r="U228" s="232"/>
      <c r="V228" s="232"/>
      <c r="W228" s="99"/>
      <c r="X228" s="149"/>
    </row>
    <row r="229" spans="1:24">
      <c r="A229" s="164"/>
      <c r="B229" s="102"/>
      <c r="C229" s="95"/>
      <c r="D229" s="95"/>
      <c r="E229" s="96"/>
      <c r="F229" s="298"/>
      <c r="G229" s="84"/>
      <c r="H229" s="44"/>
      <c r="I229" s="44"/>
      <c r="J229" s="95"/>
      <c r="K229" s="164"/>
      <c r="L229" s="234"/>
      <c r="M229" s="234"/>
      <c r="N229" s="234"/>
      <c r="O229" s="232"/>
      <c r="P229" s="232"/>
      <c r="Q229" s="192"/>
      <c r="R229" s="192"/>
      <c r="S229" s="232"/>
      <c r="T229" s="232"/>
      <c r="U229" s="232"/>
      <c r="V229" s="232"/>
      <c r="W229" s="99"/>
      <c r="X229" s="149"/>
    </row>
    <row r="230" spans="1:24">
      <c r="A230" s="164"/>
      <c r="B230" s="102"/>
      <c r="C230" s="95"/>
      <c r="D230" s="95"/>
      <c r="E230" s="109"/>
      <c r="F230" s="293"/>
      <c r="G230" s="115"/>
      <c r="H230" s="149"/>
      <c r="I230" s="149"/>
      <c r="J230" s="164"/>
      <c r="K230" s="164"/>
      <c r="L230" s="234"/>
      <c r="M230" s="234"/>
      <c r="N230" s="234"/>
      <c r="O230" s="232"/>
      <c r="P230" s="232"/>
      <c r="Q230" s="192"/>
      <c r="R230" s="192"/>
      <c r="S230" s="232"/>
      <c r="T230" s="232"/>
      <c r="U230" s="232"/>
      <c r="V230" s="232"/>
      <c r="W230" s="99"/>
      <c r="X230" s="149"/>
    </row>
    <row r="231" spans="1:24">
      <c r="A231" s="164"/>
      <c r="B231" s="102"/>
      <c r="C231" s="149"/>
      <c r="D231" s="149"/>
      <c r="E231" s="118"/>
      <c r="F231" s="299"/>
      <c r="G231" s="149"/>
      <c r="H231" s="149"/>
      <c r="I231" s="149"/>
      <c r="J231" s="149"/>
      <c r="K231" s="164"/>
      <c r="L231" s="234"/>
      <c r="M231" s="234"/>
      <c r="N231" s="234"/>
      <c r="O231" s="232"/>
      <c r="P231" s="232"/>
      <c r="Q231" s="192"/>
      <c r="R231" s="192"/>
      <c r="S231" s="232"/>
      <c r="T231" s="232"/>
      <c r="U231" s="232"/>
      <c r="V231" s="232"/>
      <c r="W231" s="99"/>
      <c r="X231" s="149"/>
    </row>
    <row r="232" spans="1:24">
      <c r="A232" s="164"/>
      <c r="B232" s="164"/>
      <c r="C232" s="95"/>
      <c r="D232" s="95"/>
      <c r="E232" s="109"/>
      <c r="F232" s="293"/>
      <c r="G232" s="115"/>
      <c r="H232" s="149"/>
      <c r="I232" s="149"/>
      <c r="J232" s="164"/>
      <c r="K232" s="164"/>
      <c r="L232" s="232"/>
      <c r="M232" s="232"/>
      <c r="N232" s="232"/>
      <c r="O232" s="232"/>
      <c r="P232" s="232"/>
      <c r="Q232" s="192"/>
      <c r="R232" s="192"/>
      <c r="S232" s="232"/>
      <c r="T232" s="232"/>
      <c r="U232" s="232"/>
      <c r="V232" s="232"/>
      <c r="W232" s="99"/>
      <c r="X232" s="149"/>
    </row>
    <row r="233" spans="1:24">
      <c r="A233" s="164"/>
      <c r="B233" s="164"/>
      <c r="C233" s="95"/>
      <c r="D233" s="95"/>
      <c r="E233" s="109"/>
      <c r="F233" s="293"/>
      <c r="G233" s="115"/>
      <c r="H233" s="149"/>
      <c r="I233" s="149"/>
      <c r="J233" s="164"/>
      <c r="K233" s="164"/>
      <c r="L233" s="232"/>
      <c r="M233" s="232"/>
      <c r="N233" s="232"/>
      <c r="O233" s="232"/>
      <c r="P233" s="232"/>
      <c r="Q233" s="192"/>
      <c r="R233" s="192"/>
      <c r="S233" s="232"/>
      <c r="T233" s="232"/>
      <c r="U233" s="232"/>
      <c r="V233" s="232"/>
      <c r="W233" s="99"/>
      <c r="X233" s="149"/>
    </row>
    <row r="234" spans="1:24">
      <c r="A234" s="164"/>
      <c r="B234" s="164"/>
      <c r="C234" s="95"/>
      <c r="D234" s="95"/>
      <c r="E234" s="109"/>
      <c r="F234" s="293"/>
      <c r="G234" s="115"/>
      <c r="H234" s="149"/>
      <c r="I234" s="149"/>
      <c r="J234" s="164"/>
      <c r="K234" s="164"/>
      <c r="L234" s="232"/>
      <c r="M234" s="232"/>
      <c r="N234" s="232"/>
      <c r="O234" s="232"/>
      <c r="P234" s="232"/>
      <c r="Q234" s="192"/>
      <c r="R234" s="192"/>
      <c r="S234" s="232"/>
      <c r="T234" s="232"/>
      <c r="U234" s="232"/>
      <c r="V234" s="232"/>
      <c r="W234" s="99"/>
      <c r="X234" s="149"/>
    </row>
    <row r="235" spans="1:24">
      <c r="A235" s="164"/>
      <c r="B235" s="164"/>
      <c r="C235" s="95"/>
      <c r="D235" s="95"/>
      <c r="E235" s="109"/>
      <c r="F235" s="293"/>
      <c r="G235" s="115"/>
      <c r="H235" s="149"/>
      <c r="I235" s="149"/>
      <c r="J235" s="164"/>
      <c r="K235" s="164"/>
      <c r="L235" s="232"/>
      <c r="M235" s="232"/>
      <c r="N235" s="232"/>
      <c r="O235" s="232"/>
      <c r="P235" s="232"/>
      <c r="Q235" s="192"/>
      <c r="R235" s="192"/>
      <c r="S235" s="232"/>
      <c r="T235" s="232"/>
      <c r="U235" s="232"/>
      <c r="V235" s="232"/>
      <c r="W235" s="99"/>
      <c r="X235" s="149"/>
    </row>
    <row r="236" spans="1:24">
      <c r="A236" s="164"/>
      <c r="B236" s="164"/>
      <c r="C236" s="95"/>
      <c r="D236" s="95"/>
      <c r="E236" s="109"/>
      <c r="F236" s="293"/>
      <c r="G236" s="115"/>
      <c r="H236" s="149"/>
      <c r="I236" s="149"/>
      <c r="J236" s="164"/>
      <c r="K236" s="164"/>
      <c r="L236" s="232"/>
      <c r="M236" s="232"/>
      <c r="N236" s="232"/>
      <c r="O236" s="232"/>
      <c r="P236" s="232"/>
      <c r="Q236" s="192"/>
      <c r="R236" s="192"/>
      <c r="S236" s="232"/>
      <c r="T236" s="232"/>
      <c r="U236" s="232"/>
      <c r="V236" s="232"/>
      <c r="W236" s="99"/>
      <c r="X236" s="149"/>
    </row>
    <row r="237" spans="1:24">
      <c r="A237" s="164"/>
      <c r="B237" s="164"/>
      <c r="C237" s="95"/>
      <c r="D237" s="95"/>
      <c r="E237" s="109"/>
      <c r="F237" s="293"/>
      <c r="G237" s="115"/>
      <c r="H237" s="149"/>
      <c r="I237" s="149"/>
      <c r="J237" s="164"/>
      <c r="K237" s="164"/>
      <c r="L237" s="232"/>
      <c r="M237" s="232"/>
      <c r="N237" s="232"/>
      <c r="O237" s="232"/>
      <c r="P237" s="232"/>
      <c r="Q237" s="192"/>
      <c r="R237" s="192"/>
      <c r="S237" s="232"/>
      <c r="T237" s="232"/>
      <c r="U237" s="232"/>
      <c r="V237" s="232"/>
      <c r="W237" s="99"/>
      <c r="X237" s="149"/>
    </row>
    <row r="238" spans="1:24">
      <c r="A238" s="164"/>
      <c r="B238" s="164"/>
      <c r="C238" s="95"/>
      <c r="D238" s="95"/>
      <c r="E238" s="109"/>
      <c r="F238" s="293"/>
      <c r="G238" s="115"/>
      <c r="H238" s="149"/>
      <c r="I238" s="149"/>
      <c r="J238" s="164"/>
      <c r="K238" s="164"/>
      <c r="L238" s="232"/>
      <c r="M238" s="232"/>
      <c r="N238" s="232"/>
      <c r="O238" s="232"/>
      <c r="P238" s="232"/>
      <c r="Q238" s="192"/>
      <c r="R238" s="192"/>
      <c r="S238" s="232"/>
      <c r="T238" s="232"/>
      <c r="U238" s="232"/>
      <c r="V238" s="232"/>
      <c r="W238" s="99"/>
      <c r="X238" s="149"/>
    </row>
    <row r="239" spans="1:24">
      <c r="A239" s="164"/>
      <c r="B239" s="164"/>
      <c r="C239" s="95"/>
      <c r="D239" s="95"/>
      <c r="E239" s="109"/>
      <c r="F239" s="293"/>
      <c r="G239" s="115"/>
      <c r="H239" s="149"/>
      <c r="I239" s="149"/>
      <c r="J239" s="164"/>
      <c r="K239" s="164"/>
      <c r="L239" s="232"/>
      <c r="M239" s="232"/>
      <c r="N239" s="232"/>
      <c r="O239" s="232"/>
      <c r="P239" s="232"/>
      <c r="Q239" s="192"/>
      <c r="R239" s="192"/>
      <c r="S239" s="232"/>
      <c r="T239" s="232"/>
      <c r="U239" s="232"/>
      <c r="V239" s="232"/>
      <c r="W239" s="99"/>
      <c r="X239" s="149"/>
    </row>
    <row r="240" spans="1:24">
      <c r="A240" s="164"/>
      <c r="B240" s="164"/>
      <c r="C240" s="95"/>
      <c r="D240" s="95"/>
      <c r="E240" s="109"/>
      <c r="F240" s="293"/>
      <c r="G240" s="115"/>
      <c r="H240" s="149"/>
      <c r="I240" s="149"/>
      <c r="J240" s="164"/>
      <c r="K240" s="164"/>
      <c r="L240" s="232"/>
      <c r="M240" s="232"/>
      <c r="N240" s="232"/>
      <c r="O240" s="232"/>
      <c r="P240" s="232"/>
      <c r="Q240" s="192"/>
      <c r="R240" s="192"/>
      <c r="S240" s="232"/>
      <c r="T240" s="232"/>
      <c r="U240" s="232"/>
      <c r="V240" s="232"/>
      <c r="W240" s="99"/>
      <c r="X240" s="149"/>
    </row>
    <row r="241" spans="1:24">
      <c r="A241" s="164"/>
      <c r="B241" s="164"/>
      <c r="C241" s="95"/>
      <c r="D241" s="95"/>
      <c r="E241" s="109"/>
      <c r="F241" s="293"/>
      <c r="G241" s="115"/>
      <c r="H241" s="149"/>
      <c r="I241" s="149"/>
      <c r="J241" s="164"/>
      <c r="K241" s="164"/>
      <c r="L241" s="232"/>
      <c r="M241" s="232"/>
      <c r="N241" s="232"/>
      <c r="O241" s="232"/>
      <c r="P241" s="232"/>
      <c r="Q241" s="192"/>
      <c r="R241" s="192"/>
      <c r="S241" s="232"/>
      <c r="T241" s="232"/>
      <c r="U241" s="232"/>
      <c r="V241" s="232"/>
      <c r="W241" s="99"/>
      <c r="X241" s="149"/>
    </row>
    <row r="242" spans="1:24">
      <c r="A242" s="164"/>
      <c r="B242" s="164"/>
      <c r="C242" s="95"/>
      <c r="D242" s="95"/>
      <c r="E242" s="109"/>
      <c r="F242" s="293"/>
      <c r="G242" s="115"/>
      <c r="H242" s="149"/>
      <c r="I242" s="149"/>
      <c r="J242" s="164"/>
      <c r="K242" s="164"/>
      <c r="L242" s="232"/>
      <c r="M242" s="232"/>
      <c r="N242" s="232"/>
      <c r="O242" s="232"/>
      <c r="P242" s="232"/>
      <c r="Q242" s="192"/>
      <c r="R242" s="192"/>
      <c r="S242" s="232"/>
      <c r="T242" s="232"/>
      <c r="U242" s="232"/>
      <c r="V242" s="232"/>
      <c r="W242" s="99"/>
      <c r="X242" s="149"/>
    </row>
    <row r="243" spans="1:24">
      <c r="A243" s="164"/>
      <c r="B243" s="164"/>
      <c r="C243" s="95"/>
      <c r="D243" s="95"/>
      <c r="E243" s="109"/>
      <c r="F243" s="293"/>
      <c r="G243" s="115"/>
      <c r="H243" s="149"/>
      <c r="I243" s="149"/>
      <c r="J243" s="164"/>
      <c r="K243" s="164"/>
      <c r="L243" s="232"/>
      <c r="M243" s="232"/>
      <c r="N243" s="232"/>
      <c r="O243" s="232"/>
      <c r="P243" s="232"/>
      <c r="Q243" s="192"/>
      <c r="R243" s="192"/>
      <c r="S243" s="232"/>
      <c r="T243" s="232"/>
      <c r="U243" s="232"/>
      <c r="V243" s="232"/>
      <c r="W243" s="99"/>
      <c r="X243" s="149"/>
    </row>
    <row r="244" spans="1:24">
      <c r="A244" s="164"/>
      <c r="B244" s="164"/>
      <c r="C244" s="95"/>
      <c r="D244" s="95"/>
      <c r="E244" s="109"/>
      <c r="F244" s="293"/>
      <c r="G244" s="115"/>
      <c r="H244" s="149"/>
      <c r="I244" s="149"/>
      <c r="J244" s="164"/>
      <c r="K244" s="164"/>
      <c r="L244" s="232"/>
      <c r="M244" s="232"/>
      <c r="N244" s="232"/>
      <c r="O244" s="232"/>
      <c r="P244" s="232"/>
      <c r="Q244" s="192"/>
      <c r="R244" s="192"/>
      <c r="S244" s="232"/>
      <c r="T244" s="232"/>
      <c r="U244" s="232"/>
      <c r="V244" s="232"/>
      <c r="W244" s="99"/>
      <c r="X244" s="149"/>
    </row>
    <row r="245" spans="1:24">
      <c r="A245" s="164"/>
      <c r="B245" s="164"/>
      <c r="C245" s="95"/>
      <c r="D245" s="95"/>
      <c r="E245" s="109"/>
      <c r="F245" s="293"/>
      <c r="G245" s="115"/>
      <c r="H245" s="149"/>
      <c r="I245" s="149"/>
      <c r="J245" s="164"/>
      <c r="K245" s="164"/>
      <c r="L245" s="232"/>
      <c r="M245" s="232"/>
      <c r="N245" s="232"/>
      <c r="O245" s="232"/>
      <c r="P245" s="232"/>
      <c r="Q245" s="192"/>
      <c r="R245" s="192"/>
      <c r="S245" s="232"/>
      <c r="T245" s="232"/>
      <c r="U245" s="232"/>
      <c r="V245" s="232"/>
      <c r="W245" s="99"/>
      <c r="X245" s="149"/>
    </row>
    <row r="246" spans="1:24">
      <c r="A246" s="164"/>
      <c r="B246" s="164"/>
      <c r="C246" s="95"/>
      <c r="D246" s="95"/>
      <c r="E246" s="109"/>
      <c r="F246" s="293"/>
      <c r="G246" s="115"/>
      <c r="H246" s="149"/>
      <c r="I246" s="149"/>
      <c r="J246" s="164"/>
      <c r="K246" s="164"/>
      <c r="L246" s="232"/>
      <c r="M246" s="232"/>
      <c r="N246" s="232"/>
      <c r="O246" s="232"/>
      <c r="P246" s="232"/>
      <c r="Q246" s="192"/>
      <c r="R246" s="192"/>
      <c r="S246" s="232"/>
      <c r="T246" s="232"/>
      <c r="U246" s="232"/>
      <c r="V246" s="232"/>
      <c r="W246" s="99"/>
      <c r="X246" s="149"/>
    </row>
    <row r="247" spans="1:24">
      <c r="A247" s="164"/>
      <c r="B247" s="164"/>
      <c r="C247" s="95"/>
      <c r="D247" s="95"/>
      <c r="E247" s="109"/>
      <c r="F247" s="293"/>
      <c r="G247" s="115"/>
      <c r="H247" s="149"/>
      <c r="I247" s="149"/>
      <c r="J247" s="164"/>
      <c r="K247" s="164"/>
      <c r="L247" s="232"/>
      <c r="M247" s="232"/>
      <c r="N247" s="232"/>
      <c r="O247" s="232"/>
      <c r="P247" s="232"/>
      <c r="Q247" s="192"/>
      <c r="R247" s="192"/>
      <c r="S247" s="232"/>
      <c r="T247" s="232"/>
      <c r="U247" s="232"/>
      <c r="V247" s="232"/>
      <c r="W247" s="99"/>
      <c r="X247" s="149"/>
    </row>
    <row r="248" spans="1:24">
      <c r="A248" s="164"/>
      <c r="B248" s="164"/>
      <c r="C248" s="95"/>
      <c r="D248" s="95"/>
      <c r="E248" s="109"/>
      <c r="F248" s="293"/>
      <c r="G248" s="115"/>
      <c r="H248" s="149"/>
      <c r="I248" s="149"/>
      <c r="J248" s="164"/>
      <c r="K248" s="164"/>
      <c r="L248" s="232"/>
      <c r="M248" s="232"/>
      <c r="N248" s="232"/>
      <c r="O248" s="232"/>
      <c r="P248" s="232"/>
      <c r="Q248" s="192"/>
      <c r="R248" s="192"/>
      <c r="S248" s="232"/>
      <c r="T248" s="232"/>
      <c r="U248" s="232"/>
      <c r="V248" s="232"/>
      <c r="W248" s="99"/>
      <c r="X248" s="149"/>
    </row>
    <row r="249" spans="1:24">
      <c r="A249" s="164"/>
      <c r="B249" s="164"/>
      <c r="C249" s="95"/>
      <c r="D249" s="95"/>
      <c r="E249" s="109"/>
      <c r="F249" s="293"/>
      <c r="G249" s="115"/>
      <c r="H249" s="149"/>
      <c r="I249" s="149"/>
      <c r="J249" s="164"/>
      <c r="K249" s="164"/>
      <c r="L249" s="232"/>
      <c r="M249" s="232"/>
      <c r="N249" s="232"/>
      <c r="O249" s="232"/>
      <c r="P249" s="232"/>
      <c r="Q249" s="192"/>
      <c r="R249" s="192"/>
      <c r="S249" s="232"/>
      <c r="T249" s="232"/>
      <c r="U249" s="232"/>
      <c r="V249" s="232"/>
      <c r="W249" s="99"/>
      <c r="X249" s="149"/>
    </row>
    <row r="250" spans="1:24">
      <c r="A250" s="164"/>
      <c r="B250" s="164"/>
      <c r="C250" s="95"/>
      <c r="D250" s="95"/>
      <c r="E250" s="109"/>
      <c r="F250" s="293"/>
      <c r="G250" s="115"/>
      <c r="H250" s="149"/>
      <c r="I250" s="149"/>
      <c r="J250" s="164"/>
      <c r="K250" s="164"/>
      <c r="L250" s="232"/>
      <c r="M250" s="232"/>
      <c r="N250" s="232"/>
      <c r="O250" s="232"/>
      <c r="P250" s="232"/>
      <c r="Q250" s="192"/>
      <c r="R250" s="192"/>
      <c r="S250" s="232"/>
      <c r="T250" s="232"/>
      <c r="U250" s="232"/>
      <c r="V250" s="232"/>
      <c r="W250" s="99"/>
      <c r="X250" s="149"/>
    </row>
    <row r="251" spans="1:24">
      <c r="A251" s="164"/>
      <c r="B251" s="164"/>
      <c r="C251" s="95"/>
      <c r="D251" s="95"/>
      <c r="E251" s="109"/>
      <c r="F251" s="293"/>
      <c r="G251" s="115"/>
      <c r="H251" s="149"/>
      <c r="I251" s="149"/>
      <c r="J251" s="164"/>
      <c r="K251" s="164"/>
      <c r="L251" s="232"/>
      <c r="M251" s="232"/>
      <c r="N251" s="232"/>
      <c r="O251" s="232"/>
      <c r="P251" s="232"/>
      <c r="Q251" s="192"/>
      <c r="R251" s="192"/>
      <c r="S251" s="232"/>
      <c r="T251" s="232"/>
      <c r="U251" s="232"/>
      <c r="V251" s="232"/>
      <c r="W251" s="99"/>
      <c r="X251" s="149"/>
    </row>
    <row r="252" spans="1:24">
      <c r="A252" s="164"/>
      <c r="B252" s="164"/>
      <c r="C252" s="95"/>
      <c r="D252" s="95"/>
      <c r="E252" s="109"/>
      <c r="F252" s="293"/>
      <c r="G252" s="115"/>
      <c r="H252" s="149"/>
      <c r="I252" s="149"/>
      <c r="J252" s="164"/>
      <c r="K252" s="164"/>
      <c r="L252" s="232"/>
      <c r="M252" s="232"/>
      <c r="N252" s="232"/>
      <c r="O252" s="232"/>
      <c r="P252" s="232"/>
      <c r="Q252" s="192"/>
      <c r="R252" s="192"/>
      <c r="S252" s="232"/>
      <c r="T252" s="232"/>
      <c r="U252" s="232"/>
      <c r="V252" s="232"/>
      <c r="W252" s="99"/>
      <c r="X252" s="149"/>
    </row>
    <row r="253" spans="1:24">
      <c r="A253" s="164"/>
      <c r="B253" s="164"/>
      <c r="C253" s="95"/>
      <c r="D253" s="95"/>
      <c r="E253" s="109"/>
      <c r="F253" s="293"/>
      <c r="G253" s="115"/>
      <c r="H253" s="149"/>
      <c r="I253" s="149"/>
      <c r="J253" s="164"/>
      <c r="K253" s="164"/>
      <c r="L253" s="232"/>
      <c r="M253" s="232"/>
      <c r="N253" s="232"/>
      <c r="O253" s="232"/>
      <c r="P253" s="232"/>
      <c r="Q253" s="192"/>
      <c r="R253" s="192"/>
      <c r="S253" s="232"/>
      <c r="T253" s="232"/>
      <c r="U253" s="232"/>
      <c r="V253" s="232"/>
      <c r="W253" s="99"/>
      <c r="X253" s="149"/>
    </row>
    <row r="254" spans="1:24">
      <c r="A254" s="164"/>
      <c r="B254" s="164"/>
      <c r="C254" s="95"/>
      <c r="D254" s="95"/>
      <c r="E254" s="109"/>
      <c r="F254" s="293"/>
      <c r="G254" s="115"/>
      <c r="H254" s="149"/>
      <c r="I254" s="149"/>
      <c r="J254" s="164"/>
      <c r="K254" s="164"/>
      <c r="L254" s="232"/>
      <c r="M254" s="232"/>
      <c r="N254" s="232"/>
      <c r="O254" s="232"/>
      <c r="P254" s="232"/>
      <c r="Q254" s="192"/>
      <c r="R254" s="192"/>
      <c r="S254" s="232"/>
      <c r="T254" s="232"/>
      <c r="U254" s="232"/>
      <c r="V254" s="232"/>
      <c r="W254" s="99"/>
      <c r="X254" s="149"/>
    </row>
    <row r="255" spans="1:24">
      <c r="A255" s="164"/>
      <c r="B255" s="164"/>
      <c r="C255" s="95"/>
      <c r="D255" s="95"/>
      <c r="E255" s="109"/>
      <c r="F255" s="293"/>
      <c r="G255" s="115"/>
      <c r="H255" s="149"/>
      <c r="I255" s="149"/>
      <c r="J255" s="164"/>
      <c r="K255" s="164"/>
      <c r="L255" s="232"/>
      <c r="M255" s="232"/>
      <c r="N255" s="232"/>
      <c r="O255" s="232"/>
      <c r="P255" s="232"/>
      <c r="Q255" s="192"/>
      <c r="R255" s="192"/>
      <c r="S255" s="232"/>
      <c r="T255" s="232"/>
      <c r="U255" s="232"/>
      <c r="V255" s="232"/>
      <c r="W255" s="99"/>
      <c r="X255" s="149"/>
    </row>
    <row r="256" spans="1:24">
      <c r="A256" s="164"/>
      <c r="B256" s="164"/>
      <c r="C256" s="95"/>
      <c r="D256" s="95"/>
      <c r="E256" s="109"/>
      <c r="F256" s="293"/>
      <c r="G256" s="115"/>
      <c r="H256" s="149"/>
      <c r="I256" s="149"/>
      <c r="J256" s="164"/>
      <c r="K256" s="164"/>
      <c r="L256" s="232"/>
      <c r="M256" s="232"/>
      <c r="N256" s="232"/>
      <c r="O256" s="232"/>
      <c r="P256" s="232"/>
      <c r="Q256" s="192"/>
      <c r="R256" s="192"/>
      <c r="S256" s="232"/>
      <c r="T256" s="232"/>
      <c r="U256" s="232"/>
      <c r="V256" s="232"/>
      <c r="W256" s="99"/>
      <c r="X256" s="149"/>
    </row>
    <row r="257" spans="1:25">
      <c r="A257" s="164"/>
      <c r="B257" s="164"/>
      <c r="C257" s="95"/>
      <c r="D257" s="95"/>
      <c r="E257" s="109"/>
      <c r="F257" s="293"/>
      <c r="G257" s="115"/>
      <c r="H257" s="149"/>
      <c r="I257" s="149"/>
      <c r="J257" s="164"/>
      <c r="K257" s="164"/>
      <c r="L257" s="232"/>
      <c r="M257" s="232"/>
      <c r="N257" s="232"/>
      <c r="O257" s="232"/>
      <c r="P257" s="232"/>
      <c r="Q257" s="192"/>
      <c r="R257" s="192"/>
      <c r="S257" s="232"/>
      <c r="T257" s="232"/>
      <c r="U257" s="232"/>
      <c r="V257" s="232"/>
      <c r="W257" s="99"/>
      <c r="X257" s="149"/>
    </row>
    <row r="258" spans="1:25">
      <c r="A258" s="164"/>
      <c r="B258" s="164"/>
      <c r="C258" s="95"/>
      <c r="D258" s="95"/>
      <c r="E258" s="109"/>
      <c r="F258" s="293"/>
      <c r="G258" s="115"/>
      <c r="H258" s="149"/>
      <c r="I258" s="149"/>
      <c r="J258" s="164"/>
      <c r="K258" s="164"/>
      <c r="L258" s="232"/>
      <c r="M258" s="232"/>
      <c r="N258" s="232"/>
      <c r="O258" s="232"/>
      <c r="P258" s="232"/>
      <c r="Q258" s="192"/>
      <c r="R258" s="192"/>
      <c r="S258" s="232"/>
      <c r="T258" s="232"/>
      <c r="U258" s="232"/>
      <c r="V258" s="232"/>
      <c r="W258" s="99"/>
      <c r="X258" s="149"/>
    </row>
    <row r="259" spans="1:25">
      <c r="A259" s="164"/>
      <c r="B259" s="164"/>
      <c r="C259" s="95"/>
      <c r="D259" s="95"/>
      <c r="E259" s="109"/>
      <c r="F259" s="293"/>
      <c r="G259" s="115"/>
      <c r="H259" s="149"/>
      <c r="I259" s="149"/>
      <c r="J259" s="164"/>
      <c r="K259" s="164"/>
      <c r="L259" s="232"/>
      <c r="M259" s="232"/>
      <c r="N259" s="232"/>
      <c r="O259" s="232"/>
      <c r="P259" s="232"/>
      <c r="Q259" s="192"/>
      <c r="R259" s="192"/>
      <c r="S259" s="232"/>
      <c r="T259" s="232"/>
      <c r="U259" s="232"/>
      <c r="V259" s="232"/>
      <c r="W259" s="99"/>
      <c r="X259" s="104"/>
      <c r="Y259" s="104"/>
    </row>
    <row r="260" spans="1:25">
      <c r="A260" s="164"/>
      <c r="B260" s="164"/>
      <c r="C260" s="95"/>
      <c r="D260" s="95"/>
      <c r="E260" s="109"/>
      <c r="F260" s="293"/>
      <c r="G260" s="115"/>
      <c r="H260" s="149"/>
      <c r="I260" s="149"/>
      <c r="J260" s="164"/>
      <c r="K260" s="164"/>
      <c r="L260" s="232"/>
      <c r="M260" s="232"/>
      <c r="N260" s="232"/>
      <c r="O260" s="232"/>
      <c r="P260" s="232"/>
      <c r="Q260" s="192"/>
      <c r="R260" s="192"/>
      <c r="S260" s="232"/>
      <c r="T260" s="232"/>
      <c r="U260" s="232"/>
      <c r="V260" s="232"/>
      <c r="W260" s="99"/>
      <c r="X260" s="149"/>
    </row>
    <row r="261" spans="1:25">
      <c r="A261" s="164"/>
      <c r="B261" s="164"/>
      <c r="C261" s="95"/>
      <c r="D261" s="95"/>
      <c r="E261" s="109"/>
      <c r="F261" s="293"/>
      <c r="G261" s="115"/>
      <c r="H261" s="149"/>
      <c r="I261" s="149"/>
      <c r="J261" s="164"/>
      <c r="K261" s="164"/>
      <c r="L261" s="232"/>
      <c r="M261" s="232"/>
      <c r="N261" s="232"/>
      <c r="O261" s="232"/>
      <c r="P261" s="232"/>
      <c r="Q261" s="192"/>
      <c r="R261" s="192"/>
      <c r="S261" s="232"/>
      <c r="T261" s="232"/>
      <c r="U261" s="232"/>
      <c r="V261" s="232"/>
      <c r="W261" s="99"/>
      <c r="X261" s="104"/>
      <c r="Y261" s="104"/>
    </row>
    <row r="262" spans="1:25">
      <c r="A262" s="164"/>
      <c r="B262" s="164"/>
      <c r="C262" s="95"/>
      <c r="D262" s="95"/>
      <c r="E262" s="109"/>
      <c r="F262" s="293"/>
      <c r="G262" s="115"/>
      <c r="H262" s="149"/>
      <c r="I262" s="149"/>
      <c r="J262" s="164"/>
      <c r="K262" s="164"/>
      <c r="L262" s="232"/>
      <c r="M262" s="232"/>
      <c r="N262" s="232"/>
      <c r="O262" s="232"/>
      <c r="P262" s="232"/>
      <c r="Q262" s="192"/>
      <c r="R262" s="192"/>
      <c r="S262" s="232"/>
      <c r="T262" s="232"/>
      <c r="U262" s="232"/>
      <c r="V262" s="232"/>
      <c r="W262" s="99"/>
      <c r="X262" s="104"/>
      <c r="Y262" s="104"/>
    </row>
    <row r="263" spans="1:25">
      <c r="A263" s="164"/>
      <c r="B263" s="164"/>
      <c r="C263" s="95"/>
      <c r="D263" s="95"/>
      <c r="E263" s="109"/>
      <c r="F263" s="293"/>
      <c r="G263" s="115"/>
      <c r="H263" s="149"/>
      <c r="I263" s="149"/>
      <c r="J263" s="164"/>
      <c r="K263" s="164"/>
      <c r="L263" s="232"/>
      <c r="M263" s="232"/>
      <c r="N263" s="232"/>
      <c r="O263" s="232"/>
      <c r="P263" s="232"/>
      <c r="Q263" s="192"/>
      <c r="R263" s="192"/>
      <c r="S263" s="232"/>
      <c r="T263" s="232"/>
      <c r="U263" s="232"/>
      <c r="V263" s="232"/>
      <c r="W263" s="99"/>
      <c r="X263" s="104"/>
      <c r="Y263" s="104"/>
    </row>
    <row r="264" spans="1:25">
      <c r="A264" s="164"/>
      <c r="B264" s="164"/>
      <c r="C264" s="95"/>
      <c r="D264" s="95"/>
      <c r="E264" s="109"/>
      <c r="F264" s="293"/>
      <c r="G264" s="115"/>
      <c r="H264" s="149"/>
      <c r="I264" s="149"/>
      <c r="J264" s="164"/>
      <c r="K264" s="164"/>
      <c r="L264" s="232"/>
      <c r="M264" s="232"/>
      <c r="N264" s="232"/>
      <c r="O264" s="232"/>
      <c r="P264" s="232"/>
      <c r="Q264" s="192"/>
      <c r="R264" s="192"/>
      <c r="S264" s="232"/>
      <c r="T264" s="232"/>
      <c r="U264" s="232"/>
      <c r="V264" s="232"/>
      <c r="W264" s="99"/>
      <c r="X264" s="149"/>
    </row>
    <row r="265" spans="1:25">
      <c r="A265" s="164"/>
      <c r="B265" s="164"/>
      <c r="C265" s="95"/>
      <c r="D265" s="95"/>
      <c r="E265" s="109"/>
      <c r="F265" s="293"/>
      <c r="G265" s="115"/>
      <c r="H265" s="149"/>
      <c r="I265" s="149"/>
      <c r="J265" s="164"/>
      <c r="K265" s="164"/>
      <c r="L265" s="232"/>
      <c r="M265" s="232"/>
      <c r="N265" s="232"/>
      <c r="O265" s="232"/>
      <c r="P265" s="232"/>
      <c r="Q265" s="192"/>
      <c r="R265" s="192"/>
      <c r="S265" s="232"/>
      <c r="T265" s="232"/>
      <c r="U265" s="232"/>
      <c r="V265" s="232"/>
      <c r="W265" s="99"/>
      <c r="X265" s="149"/>
    </row>
    <row r="266" spans="1:25">
      <c r="A266" s="164"/>
      <c r="B266" s="164"/>
      <c r="C266" s="95"/>
      <c r="D266" s="95"/>
      <c r="E266" s="109"/>
      <c r="F266" s="293"/>
      <c r="G266" s="115"/>
      <c r="H266" s="149"/>
      <c r="I266" s="149"/>
      <c r="J266" s="164"/>
      <c r="K266" s="164"/>
      <c r="L266" s="232"/>
      <c r="M266" s="232"/>
      <c r="N266" s="232"/>
      <c r="O266" s="232"/>
      <c r="P266" s="232"/>
      <c r="Q266" s="192"/>
      <c r="R266" s="192"/>
      <c r="S266" s="232"/>
      <c r="T266" s="232"/>
      <c r="U266" s="232"/>
      <c r="V266" s="232"/>
      <c r="W266" s="99"/>
      <c r="X266" s="149"/>
    </row>
    <row r="267" spans="1:25">
      <c r="A267" s="164"/>
      <c r="B267" s="164"/>
      <c r="C267" s="95"/>
      <c r="D267" s="95"/>
      <c r="E267" s="109"/>
      <c r="F267" s="293"/>
      <c r="G267" s="115"/>
      <c r="H267" s="149"/>
      <c r="I267" s="149"/>
      <c r="J267" s="164"/>
      <c r="K267" s="164"/>
      <c r="L267" s="232"/>
      <c r="M267" s="232"/>
      <c r="N267" s="232"/>
      <c r="O267" s="232"/>
      <c r="P267" s="232"/>
      <c r="Q267" s="192"/>
      <c r="R267" s="192"/>
      <c r="S267" s="232"/>
      <c r="T267" s="232"/>
      <c r="U267" s="232"/>
      <c r="V267" s="232"/>
      <c r="W267" s="99"/>
      <c r="X267" s="149"/>
    </row>
    <row r="268" spans="1:25">
      <c r="A268" s="164"/>
      <c r="B268" s="164"/>
      <c r="C268" s="95"/>
      <c r="D268" s="95"/>
      <c r="E268" s="109"/>
      <c r="F268" s="293"/>
      <c r="G268" s="115"/>
      <c r="H268" s="149"/>
      <c r="I268" s="149"/>
      <c r="J268" s="164"/>
      <c r="K268" s="164"/>
      <c r="L268" s="232"/>
      <c r="M268" s="232"/>
      <c r="N268" s="232"/>
      <c r="O268" s="232"/>
      <c r="P268" s="232"/>
      <c r="Q268" s="192"/>
      <c r="R268" s="192"/>
      <c r="S268" s="232"/>
      <c r="T268" s="232"/>
      <c r="U268" s="232"/>
      <c r="V268" s="232"/>
      <c r="W268" s="99"/>
      <c r="X268" s="149"/>
    </row>
    <row r="269" spans="1:25">
      <c r="A269" s="164"/>
      <c r="B269" s="164"/>
      <c r="C269" s="95"/>
      <c r="D269" s="95"/>
      <c r="E269" s="109"/>
      <c r="F269" s="293"/>
      <c r="G269" s="115"/>
      <c r="H269" s="149"/>
      <c r="I269" s="149"/>
      <c r="J269" s="164"/>
      <c r="K269" s="164"/>
      <c r="L269" s="232"/>
      <c r="M269" s="232"/>
      <c r="N269" s="232"/>
      <c r="O269" s="232"/>
      <c r="P269" s="232"/>
      <c r="Q269" s="192"/>
      <c r="R269" s="192"/>
      <c r="S269" s="232"/>
      <c r="T269" s="232"/>
      <c r="U269" s="232"/>
      <c r="V269" s="232"/>
      <c r="W269" s="99"/>
      <c r="X269" s="149"/>
    </row>
    <row r="273" spans="24:25">
      <c r="X273" s="150"/>
      <c r="Y273" s="104"/>
    </row>
    <row r="274" spans="24:25">
      <c r="X274" s="150"/>
      <c r="Y274" s="104"/>
    </row>
    <row r="275" spans="24:25">
      <c r="X275" s="150"/>
      <c r="Y275" s="104"/>
    </row>
  </sheetData>
  <sheetProtection selectLockedCells="1" selectUnlockedCells="1"/>
  <mergeCells count="6">
    <mergeCell ref="V4:V5"/>
    <mergeCell ref="A1:M1"/>
    <mergeCell ref="M4:M5"/>
    <mergeCell ref="N4:N5"/>
    <mergeCell ref="O4:O5"/>
    <mergeCell ref="P4:P5"/>
  </mergeCells>
  <phoneticPr fontId="1" type="noConversion"/>
  <printOptions horizontalCentered="1" gridLines="1"/>
  <pageMargins left="0.25" right="0.25" top="0.75" bottom="0.3" header="0.5" footer="0.5"/>
  <pageSetup paperSize="5" scale="69" orientation="landscape" r:id="rId1"/>
  <headerFooter alignWithMargins="0"/>
  <rowBreaks count="3" manualBreakCount="3">
    <brk id="284" max="13" man="1"/>
    <brk id="285" max="16383" man="1"/>
    <brk id="292" max="65535"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2B858-95BE-4CA8-B9E0-AF96BE4F7C92}">
  <sheetPr codeName="Sheet8"/>
  <dimension ref="A1:L25"/>
  <sheetViews>
    <sheetView workbookViewId="0">
      <selection activeCell="F22" sqref="F22"/>
    </sheetView>
  </sheetViews>
  <sheetFormatPr defaultColWidth="8.88671875" defaultRowHeight="15"/>
  <cols>
    <col min="1" max="2" width="8.88671875" style="177"/>
    <col min="3" max="3" width="9.77734375" style="177" customWidth="1"/>
    <col min="4" max="4" width="9.88671875" style="177" customWidth="1"/>
    <col min="5" max="5" width="10" style="177" bestFit="1" customWidth="1"/>
    <col min="6" max="6" width="9.6640625" style="177" bestFit="1" customWidth="1"/>
    <col min="7" max="7" width="10.6640625" style="177" bestFit="1" customWidth="1"/>
    <col min="8" max="9" width="9.6640625" style="177" bestFit="1" customWidth="1"/>
    <col min="10" max="16384" width="8.88671875" style="177"/>
  </cols>
  <sheetData>
    <row r="1" spans="1:12">
      <c r="A1" s="193" t="s">
        <v>270</v>
      </c>
      <c r="B1" s="194"/>
    </row>
    <row r="3" spans="1:12" s="178" customFormat="1" ht="30" customHeight="1">
      <c r="A3" s="344" t="s">
        <v>227</v>
      </c>
      <c r="B3" s="344"/>
    </row>
    <row r="4" spans="1:12" s="178" customFormat="1" ht="30" customHeight="1">
      <c r="A4" s="185"/>
      <c r="B4" s="185"/>
    </row>
    <row r="5" spans="1:12" ht="30">
      <c r="B5" s="182" t="s">
        <v>241</v>
      </c>
      <c r="C5" s="183" t="s">
        <v>234</v>
      </c>
      <c r="D5" s="183" t="s">
        <v>228</v>
      </c>
      <c r="E5" s="183" t="s">
        <v>229</v>
      </c>
      <c r="F5" s="183" t="s">
        <v>230</v>
      </c>
      <c r="G5" s="183" t="s">
        <v>231</v>
      </c>
      <c r="H5" s="183" t="s">
        <v>232</v>
      </c>
      <c r="I5" s="183" t="s">
        <v>233</v>
      </c>
    </row>
    <row r="6" spans="1:12" hidden="1">
      <c r="C6" s="179"/>
      <c r="D6" s="180">
        <v>0.7</v>
      </c>
      <c r="E6" s="180">
        <v>0.75</v>
      </c>
      <c r="F6" s="180">
        <v>0.8</v>
      </c>
      <c r="G6" s="180">
        <v>0.85</v>
      </c>
      <c r="H6" s="180">
        <v>0.9</v>
      </c>
      <c r="I6" s="180">
        <v>0.95</v>
      </c>
    </row>
    <row r="7" spans="1:12">
      <c r="B7" s="177" t="s">
        <v>217</v>
      </c>
      <c r="C7" s="181">
        <v>37.6</v>
      </c>
      <c r="D7" s="181">
        <f t="shared" ref="D7:I9" si="0">$C7*D$6</f>
        <v>26.32</v>
      </c>
      <c r="E7" s="181">
        <f t="shared" si="0"/>
        <v>28.200000000000003</v>
      </c>
      <c r="F7" s="181">
        <f t="shared" si="0"/>
        <v>30.080000000000002</v>
      </c>
      <c r="G7" s="181">
        <f t="shared" si="0"/>
        <v>31.96</v>
      </c>
      <c r="H7" s="181">
        <f t="shared" si="0"/>
        <v>33.840000000000003</v>
      </c>
      <c r="I7" s="181">
        <f t="shared" si="0"/>
        <v>35.72</v>
      </c>
      <c r="L7" s="191"/>
    </row>
    <row r="8" spans="1:12">
      <c r="B8" s="177" t="s">
        <v>218</v>
      </c>
      <c r="C8" s="181">
        <v>33.19</v>
      </c>
      <c r="D8" s="181">
        <f t="shared" si="0"/>
        <v>23.232999999999997</v>
      </c>
      <c r="E8" s="181">
        <f t="shared" si="0"/>
        <v>24.892499999999998</v>
      </c>
      <c r="F8" s="181">
        <f t="shared" si="0"/>
        <v>26.552</v>
      </c>
      <c r="G8" s="181">
        <f t="shared" si="0"/>
        <v>28.211499999999997</v>
      </c>
      <c r="H8" s="181">
        <f t="shared" si="0"/>
        <v>29.870999999999999</v>
      </c>
      <c r="I8" s="181">
        <f t="shared" si="0"/>
        <v>31.530499999999996</v>
      </c>
    </row>
    <row r="9" spans="1:12">
      <c r="B9" s="177" t="s">
        <v>219</v>
      </c>
      <c r="C9" s="181">
        <v>32.549999999999997</v>
      </c>
      <c r="D9" s="181">
        <f t="shared" si="0"/>
        <v>22.784999999999997</v>
      </c>
      <c r="E9" s="181">
        <f t="shared" si="0"/>
        <v>24.412499999999998</v>
      </c>
      <c r="F9" s="181">
        <f t="shared" si="0"/>
        <v>26.04</v>
      </c>
      <c r="G9" s="181">
        <f t="shared" si="0"/>
        <v>27.667499999999997</v>
      </c>
      <c r="H9" s="181">
        <f t="shared" si="0"/>
        <v>29.294999999999998</v>
      </c>
      <c r="I9" s="181">
        <f t="shared" si="0"/>
        <v>30.922499999999996</v>
      </c>
    </row>
    <row r="10" spans="1:12">
      <c r="C10" s="181"/>
      <c r="D10" s="181"/>
      <c r="E10" s="181"/>
      <c r="F10" s="181"/>
      <c r="G10" s="181"/>
      <c r="H10" s="181"/>
      <c r="I10" s="181"/>
    </row>
    <row r="12" spans="1:12" ht="45">
      <c r="B12" s="184" t="s">
        <v>241</v>
      </c>
      <c r="C12" s="183" t="s">
        <v>235</v>
      </c>
      <c r="D12" s="183" t="s">
        <v>236</v>
      </c>
      <c r="E12" s="183" t="s">
        <v>237</v>
      </c>
      <c r="F12" s="183" t="s">
        <v>238</v>
      </c>
      <c r="G12" s="186" t="s">
        <v>221</v>
      </c>
      <c r="H12" s="187" t="s">
        <v>239</v>
      </c>
      <c r="I12" s="183" t="s">
        <v>240</v>
      </c>
    </row>
    <row r="13" spans="1:12">
      <c r="B13" s="177" t="s">
        <v>217</v>
      </c>
      <c r="C13" s="181">
        <v>9.75</v>
      </c>
      <c r="D13" s="181">
        <v>9</v>
      </c>
      <c r="E13" s="181">
        <v>9.6999999999999993</v>
      </c>
      <c r="F13" s="181">
        <v>0.95</v>
      </c>
      <c r="G13" s="188">
        <v>0.22</v>
      </c>
      <c r="H13" s="188">
        <v>0.02</v>
      </c>
      <c r="I13" s="181">
        <f>SUM(C13:F13)</f>
        <v>29.4</v>
      </c>
    </row>
    <row r="14" spans="1:12">
      <c r="B14" s="177" t="s">
        <v>218</v>
      </c>
      <c r="C14" s="181">
        <v>9.75</v>
      </c>
      <c r="D14" s="181">
        <v>9</v>
      </c>
      <c r="E14" s="181">
        <v>9.6999999999999993</v>
      </c>
      <c r="F14" s="181">
        <v>0.95</v>
      </c>
      <c r="G14" s="188">
        <v>0.22</v>
      </c>
      <c r="H14" s="188">
        <v>0.02</v>
      </c>
      <c r="I14" s="181">
        <f t="shared" ref="I14:I15" si="1">SUM(C14:F14)</f>
        <v>29.4</v>
      </c>
    </row>
    <row r="15" spans="1:12">
      <c r="B15" s="177" t="s">
        <v>219</v>
      </c>
      <c r="C15" s="181">
        <v>9.75</v>
      </c>
      <c r="D15" s="181">
        <v>9</v>
      </c>
      <c r="E15" s="181">
        <v>9.6999999999999993</v>
      </c>
      <c r="F15" s="181">
        <v>0.95</v>
      </c>
      <c r="G15" s="188">
        <v>0.22</v>
      </c>
      <c r="H15" s="188">
        <v>0.02</v>
      </c>
      <c r="I15" s="181">
        <f t="shared" si="1"/>
        <v>29.4</v>
      </c>
    </row>
    <row r="17" spans="5:7">
      <c r="G17" s="196" t="s">
        <v>286</v>
      </c>
    </row>
    <row r="25" spans="5:7">
      <c r="E25" s="177" t="s">
        <v>269</v>
      </c>
    </row>
  </sheetData>
  <mergeCells count="1">
    <mergeCell ref="A3:B3"/>
  </mergeCells>
  <pageMargins left="0.7" right="0.7" top="0.75" bottom="0.75" header="0.3" footer="0.3"/>
  <pageSetup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5326-554D-4E74-B32E-0663624B9E4E}">
  <sheetPr codeName="Sheet9"/>
  <dimension ref="A1:P8"/>
  <sheetViews>
    <sheetView workbookViewId="0">
      <selection activeCell="F22" sqref="F22"/>
    </sheetView>
  </sheetViews>
  <sheetFormatPr defaultRowHeight="15.75"/>
  <cols>
    <col min="2" max="2" width="13.109375" bestFit="1" customWidth="1"/>
    <col min="3" max="3" width="13.88671875" bestFit="1" customWidth="1"/>
    <col min="13" max="13" width="11.21875" bestFit="1" customWidth="1"/>
    <col min="14" max="14" width="6" bestFit="1" customWidth="1"/>
    <col min="15" max="15" width="13" bestFit="1" customWidth="1"/>
    <col min="16" max="16" width="11.33203125" bestFit="1" customWidth="1"/>
  </cols>
  <sheetData>
    <row r="1" spans="1:16">
      <c r="A1" s="143" t="s">
        <v>211</v>
      </c>
    </row>
    <row r="2" spans="1:16">
      <c r="A2" s="72" t="s">
        <v>157</v>
      </c>
    </row>
    <row r="3" spans="1:16">
      <c r="A3" s="61"/>
    </row>
    <row r="4" spans="1:16" ht="31.5">
      <c r="A4" s="75" t="s">
        <v>210</v>
      </c>
      <c r="D4" s="173" t="s">
        <v>212</v>
      </c>
      <c r="E4" s="173" t="s">
        <v>213</v>
      </c>
      <c r="F4" s="173" t="s">
        <v>214</v>
      </c>
      <c r="G4" s="173" t="s">
        <v>215</v>
      </c>
      <c r="H4" s="173" t="s">
        <v>225</v>
      </c>
      <c r="I4" s="173" t="s">
        <v>226</v>
      </c>
      <c r="K4" s="173" t="s">
        <v>30</v>
      </c>
      <c r="L4" s="173" t="s">
        <v>151</v>
      </c>
      <c r="M4" s="173" t="s">
        <v>220</v>
      </c>
      <c r="N4" s="173" t="s">
        <v>221</v>
      </c>
      <c r="O4" s="175" t="s">
        <v>223</v>
      </c>
      <c r="P4" s="173" t="s">
        <v>222</v>
      </c>
    </row>
    <row r="5" spans="1:16">
      <c r="B5" s="75" t="s">
        <v>224</v>
      </c>
      <c r="C5" s="75" t="s">
        <v>216</v>
      </c>
      <c r="D5" s="176">
        <v>0.7</v>
      </c>
      <c r="E5" s="176">
        <v>0.75</v>
      </c>
      <c r="F5" s="176">
        <v>0.8</v>
      </c>
      <c r="G5" s="176">
        <v>0.85</v>
      </c>
      <c r="H5" s="176">
        <v>0.9</v>
      </c>
      <c r="I5" s="176">
        <v>0.95</v>
      </c>
    </row>
    <row r="6" spans="1:16">
      <c r="B6" s="174">
        <v>37.6</v>
      </c>
      <c r="C6" s="75" t="s">
        <v>217</v>
      </c>
      <c r="D6" s="174">
        <f>D$5*$B6</f>
        <v>26.32</v>
      </c>
      <c r="E6" s="174">
        <f t="shared" ref="E6:I8" si="0">E$5*$B6</f>
        <v>28.200000000000003</v>
      </c>
      <c r="F6" s="174">
        <f t="shared" si="0"/>
        <v>30.080000000000002</v>
      </c>
      <c r="G6" s="174">
        <f t="shared" si="0"/>
        <v>31.96</v>
      </c>
      <c r="H6" s="174">
        <f t="shared" si="0"/>
        <v>33.840000000000003</v>
      </c>
      <c r="I6" s="174">
        <f t="shared" si="0"/>
        <v>35.72</v>
      </c>
      <c r="K6" s="174">
        <f>9.75+9</f>
        <v>18.75</v>
      </c>
      <c r="L6" s="174">
        <v>9.6999999999999993</v>
      </c>
      <c r="M6" s="174">
        <v>0.95</v>
      </c>
      <c r="N6" s="174">
        <v>0.22</v>
      </c>
      <c r="O6" s="174">
        <v>0.02</v>
      </c>
      <c r="P6" s="174">
        <f>SUM(K6:O6)</f>
        <v>29.639999999999997</v>
      </c>
    </row>
    <row r="7" spans="1:16">
      <c r="B7" s="174">
        <v>33.19</v>
      </c>
      <c r="C7" s="75" t="s">
        <v>218</v>
      </c>
      <c r="D7" s="174">
        <f t="shared" ref="D7:D8" si="1">D$5*$B7</f>
        <v>23.232999999999997</v>
      </c>
      <c r="E7" s="174">
        <f t="shared" si="0"/>
        <v>24.892499999999998</v>
      </c>
      <c r="F7" s="174">
        <f t="shared" si="0"/>
        <v>26.552</v>
      </c>
      <c r="G7" s="174">
        <f t="shared" si="0"/>
        <v>28.211499999999997</v>
      </c>
      <c r="H7" s="174">
        <f t="shared" si="0"/>
        <v>29.870999999999999</v>
      </c>
      <c r="I7" s="174">
        <f t="shared" si="0"/>
        <v>31.530499999999996</v>
      </c>
      <c r="K7" s="174">
        <f t="shared" ref="K7:K8" si="2">9.75+9</f>
        <v>18.75</v>
      </c>
      <c r="L7" s="174">
        <v>9.6999999999999993</v>
      </c>
      <c r="M7" s="174">
        <v>0.95</v>
      </c>
      <c r="N7" s="174">
        <v>0.22</v>
      </c>
      <c r="O7" s="174">
        <v>1.02</v>
      </c>
      <c r="P7" s="174">
        <f t="shared" ref="P7:P8" si="3">SUM(K7:O7)</f>
        <v>30.639999999999997</v>
      </c>
    </row>
    <row r="8" spans="1:16">
      <c r="B8" s="174">
        <v>32.549999999999997</v>
      </c>
      <c r="C8" s="75" t="s">
        <v>219</v>
      </c>
      <c r="D8" s="174">
        <f t="shared" si="1"/>
        <v>22.784999999999997</v>
      </c>
      <c r="E8" s="174">
        <f t="shared" si="0"/>
        <v>24.412499999999998</v>
      </c>
      <c r="F8" s="174">
        <f t="shared" si="0"/>
        <v>26.04</v>
      </c>
      <c r="G8" s="174">
        <f t="shared" si="0"/>
        <v>27.667499999999997</v>
      </c>
      <c r="H8" s="174">
        <f t="shared" si="0"/>
        <v>29.294999999999998</v>
      </c>
      <c r="I8" s="174">
        <f t="shared" si="0"/>
        <v>30.922499999999996</v>
      </c>
      <c r="K8" s="174">
        <f t="shared" si="2"/>
        <v>18.75</v>
      </c>
      <c r="L8" s="174">
        <v>9.6999999999999993</v>
      </c>
      <c r="M8" s="174">
        <v>0.95</v>
      </c>
      <c r="N8" s="174">
        <v>0.22</v>
      </c>
      <c r="O8" s="174">
        <v>2.02</v>
      </c>
      <c r="P8" s="174">
        <f t="shared" si="3"/>
        <v>31.639999999999997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I25"/>
  <sheetViews>
    <sheetView topLeftCell="D1" workbookViewId="0">
      <selection activeCell="F16" sqref="F16"/>
    </sheetView>
  </sheetViews>
  <sheetFormatPr defaultColWidth="8.77734375" defaultRowHeight="12.75"/>
  <cols>
    <col min="1" max="1" width="9.6640625" style="23" customWidth="1"/>
    <col min="2" max="2" width="4.44140625" style="23" customWidth="1"/>
    <col min="3" max="3" width="4.88671875" style="23" customWidth="1"/>
    <col min="4" max="4" width="27.88671875" style="23" customWidth="1"/>
    <col min="5" max="5" width="4.88671875" style="23" customWidth="1"/>
    <col min="6" max="6" width="10.44140625" style="23" customWidth="1"/>
    <col min="7" max="7" width="13.44140625" style="23" customWidth="1"/>
    <col min="8" max="8" width="6.109375" style="23" customWidth="1"/>
    <col min="9" max="9" width="5.77734375" style="23" customWidth="1"/>
    <col min="10" max="16384" width="8.77734375" style="23"/>
  </cols>
  <sheetData>
    <row r="1" spans="1:9" ht="14.25" thickTop="1" thickBot="1">
      <c r="A1" s="22" t="s">
        <v>58</v>
      </c>
      <c r="B1" s="22" t="s">
        <v>101</v>
      </c>
      <c r="C1" s="22" t="s">
        <v>102</v>
      </c>
      <c r="D1" s="22" t="s">
        <v>103</v>
      </c>
      <c r="E1" s="22" t="s">
        <v>104</v>
      </c>
      <c r="F1" s="22" t="s">
        <v>105</v>
      </c>
      <c r="G1" s="22" t="s">
        <v>106</v>
      </c>
      <c r="H1" s="22" t="s">
        <v>107</v>
      </c>
      <c r="I1" s="22" t="s">
        <v>108</v>
      </c>
    </row>
    <row r="2" spans="1:9" ht="13.5" thickTop="1">
      <c r="A2" s="24" t="s">
        <v>4</v>
      </c>
      <c r="B2" s="24" t="s">
        <v>109</v>
      </c>
      <c r="C2" s="24" t="s">
        <v>1</v>
      </c>
      <c r="D2" s="24" t="s">
        <v>110</v>
      </c>
      <c r="E2" s="23">
        <v>1</v>
      </c>
      <c r="F2" s="25">
        <v>34.82</v>
      </c>
      <c r="G2" s="26">
        <v>41395</v>
      </c>
      <c r="H2" s="24" t="s">
        <v>109</v>
      </c>
      <c r="I2" s="24" t="s">
        <v>111</v>
      </c>
    </row>
    <row r="3" spans="1:9">
      <c r="A3" s="24" t="s">
        <v>3</v>
      </c>
      <c r="B3" s="24" t="s">
        <v>112</v>
      </c>
      <c r="C3" s="24" t="s">
        <v>1</v>
      </c>
      <c r="D3" s="24" t="s">
        <v>113</v>
      </c>
      <c r="E3" s="23">
        <v>1</v>
      </c>
      <c r="F3" s="25">
        <v>38.28</v>
      </c>
      <c r="G3" s="26">
        <v>41395</v>
      </c>
      <c r="H3" s="24" t="s">
        <v>112</v>
      </c>
      <c r="I3" s="24" t="s">
        <v>111</v>
      </c>
    </row>
    <row r="4" spans="1:9">
      <c r="A4" s="24" t="s">
        <v>5</v>
      </c>
      <c r="B4" s="24" t="s">
        <v>114</v>
      </c>
      <c r="C4" s="24" t="s">
        <v>1</v>
      </c>
      <c r="D4" s="24" t="s">
        <v>115</v>
      </c>
      <c r="E4" s="23">
        <v>1</v>
      </c>
      <c r="F4" s="25">
        <v>33.71</v>
      </c>
      <c r="G4" s="26">
        <v>41400</v>
      </c>
      <c r="H4" s="24" t="s">
        <v>114</v>
      </c>
      <c r="I4" s="24" t="s">
        <v>111</v>
      </c>
    </row>
    <row r="5" spans="1:9">
      <c r="A5" s="24" t="s">
        <v>6</v>
      </c>
      <c r="B5" s="24" t="s">
        <v>116</v>
      </c>
      <c r="C5" s="24" t="s">
        <v>1</v>
      </c>
      <c r="D5" s="24" t="s">
        <v>117</v>
      </c>
      <c r="E5" s="23">
        <v>1</v>
      </c>
      <c r="F5" s="25">
        <v>35.71</v>
      </c>
      <c r="G5" s="26">
        <v>41400</v>
      </c>
      <c r="H5" s="24" t="s">
        <v>116</v>
      </c>
      <c r="I5" s="24" t="s">
        <v>111</v>
      </c>
    </row>
    <row r="6" spans="1:9">
      <c r="A6" s="24" t="s">
        <v>25</v>
      </c>
      <c r="B6" s="24" t="s">
        <v>118</v>
      </c>
      <c r="C6" s="24" t="s">
        <v>1</v>
      </c>
      <c r="D6" s="24" t="s">
        <v>119</v>
      </c>
      <c r="E6" s="23">
        <v>1</v>
      </c>
      <c r="F6" s="25">
        <v>40.72</v>
      </c>
      <c r="G6" s="26">
        <v>41426</v>
      </c>
      <c r="H6" s="24" t="s">
        <v>118</v>
      </c>
      <c r="I6" s="24" t="s">
        <v>111</v>
      </c>
    </row>
    <row r="7" spans="1:9">
      <c r="A7" s="24" t="s">
        <v>7</v>
      </c>
      <c r="B7" s="24" t="s">
        <v>120</v>
      </c>
      <c r="C7" s="24" t="s">
        <v>1</v>
      </c>
      <c r="D7" s="24" t="s">
        <v>121</v>
      </c>
      <c r="E7" s="23">
        <v>1</v>
      </c>
      <c r="F7" s="25">
        <v>34.15</v>
      </c>
      <c r="G7" s="26">
        <v>41434</v>
      </c>
      <c r="H7" s="24" t="s">
        <v>120</v>
      </c>
      <c r="I7" s="24" t="s">
        <v>111</v>
      </c>
    </row>
    <row r="8" spans="1:9">
      <c r="A8" s="24" t="s">
        <v>8</v>
      </c>
      <c r="B8" s="24" t="s">
        <v>122</v>
      </c>
      <c r="C8" s="24" t="s">
        <v>1</v>
      </c>
      <c r="D8" s="24" t="s">
        <v>123</v>
      </c>
      <c r="E8" s="23">
        <v>1</v>
      </c>
      <c r="F8" s="25">
        <v>36.15</v>
      </c>
      <c r="G8" s="26">
        <v>41434</v>
      </c>
      <c r="H8" s="24" t="s">
        <v>122</v>
      </c>
      <c r="I8" s="24" t="s">
        <v>111</v>
      </c>
    </row>
    <row r="9" spans="1:9">
      <c r="A9" s="24" t="s">
        <v>9</v>
      </c>
      <c r="B9" s="24" t="s">
        <v>124</v>
      </c>
      <c r="C9" s="24" t="s">
        <v>1</v>
      </c>
      <c r="D9" s="24" t="s">
        <v>125</v>
      </c>
      <c r="E9" s="23">
        <v>1</v>
      </c>
      <c r="F9" s="25">
        <v>32.04</v>
      </c>
      <c r="G9" s="26">
        <v>41400</v>
      </c>
      <c r="H9" s="24" t="s">
        <v>124</v>
      </c>
      <c r="I9" s="24" t="s">
        <v>111</v>
      </c>
    </row>
    <row r="10" spans="1:9">
      <c r="A10" s="24" t="s">
        <v>10</v>
      </c>
      <c r="B10" s="24" t="s">
        <v>126</v>
      </c>
      <c r="C10" s="24" t="s">
        <v>1</v>
      </c>
      <c r="D10" s="24" t="s">
        <v>127</v>
      </c>
      <c r="E10" s="23">
        <v>1</v>
      </c>
      <c r="F10" s="25">
        <v>33.04</v>
      </c>
      <c r="G10" s="26">
        <v>41400</v>
      </c>
      <c r="H10" s="24" t="s">
        <v>126</v>
      </c>
      <c r="I10" s="24" t="s">
        <v>111</v>
      </c>
    </row>
    <row r="11" spans="1:9">
      <c r="A11" s="24" t="s">
        <v>128</v>
      </c>
      <c r="B11" s="24" t="s">
        <v>129</v>
      </c>
      <c r="C11" s="24" t="s">
        <v>1</v>
      </c>
      <c r="D11" s="24" t="s">
        <v>130</v>
      </c>
      <c r="E11" s="23">
        <v>1</v>
      </c>
      <c r="F11" s="25">
        <v>41.13</v>
      </c>
      <c r="G11" s="26">
        <v>41395</v>
      </c>
      <c r="H11" s="24" t="s">
        <v>129</v>
      </c>
      <c r="I11" s="24" t="s">
        <v>111</v>
      </c>
    </row>
    <row r="12" spans="1:9">
      <c r="A12" s="24" t="s">
        <v>131</v>
      </c>
      <c r="B12" s="24" t="s">
        <v>129</v>
      </c>
      <c r="C12" s="24" t="s">
        <v>1</v>
      </c>
      <c r="D12" s="24" t="s">
        <v>132</v>
      </c>
      <c r="E12" s="23">
        <v>1</v>
      </c>
      <c r="F12" s="25">
        <v>41.13</v>
      </c>
      <c r="G12" s="26">
        <v>41395</v>
      </c>
      <c r="H12" s="24" t="s">
        <v>129</v>
      </c>
      <c r="I12" s="24" t="s">
        <v>111</v>
      </c>
    </row>
    <row r="13" spans="1:9">
      <c r="A13" s="24" t="s">
        <v>133</v>
      </c>
      <c r="B13" s="24" t="s">
        <v>134</v>
      </c>
      <c r="C13" s="24" t="s">
        <v>1</v>
      </c>
      <c r="D13" s="24" t="s">
        <v>135</v>
      </c>
      <c r="E13" s="23">
        <v>1</v>
      </c>
      <c r="F13" s="25">
        <v>43.83</v>
      </c>
      <c r="G13" s="26">
        <v>41395</v>
      </c>
      <c r="H13" s="24" t="s">
        <v>134</v>
      </c>
      <c r="I13" s="24" t="s">
        <v>111</v>
      </c>
    </row>
    <row r="14" spans="1:9">
      <c r="A14" s="24" t="s">
        <v>136</v>
      </c>
      <c r="B14" s="24" t="s">
        <v>134</v>
      </c>
      <c r="C14" s="24" t="s">
        <v>1</v>
      </c>
      <c r="D14" s="24" t="s">
        <v>137</v>
      </c>
      <c r="E14" s="23">
        <v>1</v>
      </c>
      <c r="F14" s="25">
        <v>43.83</v>
      </c>
      <c r="G14" s="26">
        <v>41395</v>
      </c>
      <c r="H14" s="24" t="s">
        <v>134</v>
      </c>
      <c r="I14" s="24" t="s">
        <v>111</v>
      </c>
    </row>
    <row r="15" spans="1:9">
      <c r="A15" s="24" t="s">
        <v>11</v>
      </c>
      <c r="B15" s="24" t="s">
        <v>138</v>
      </c>
      <c r="C15" s="24" t="s">
        <v>1</v>
      </c>
      <c r="D15" s="24" t="s">
        <v>139</v>
      </c>
      <c r="E15" s="23">
        <v>1</v>
      </c>
      <c r="F15" s="25">
        <v>40.72</v>
      </c>
      <c r="G15" s="26">
        <v>41426</v>
      </c>
      <c r="H15" s="24" t="s">
        <v>138</v>
      </c>
      <c r="I15" s="24" t="s">
        <v>111</v>
      </c>
    </row>
    <row r="16" spans="1:9">
      <c r="A16" s="24" t="s">
        <v>12</v>
      </c>
      <c r="B16" s="24" t="s">
        <v>140</v>
      </c>
      <c r="C16" s="24" t="s">
        <v>1</v>
      </c>
      <c r="D16" s="24" t="s">
        <v>141</v>
      </c>
      <c r="E16" s="23">
        <v>1</v>
      </c>
      <c r="F16" s="25">
        <v>43.42</v>
      </c>
      <c r="G16" s="26">
        <v>41426</v>
      </c>
      <c r="H16" s="24" t="s">
        <v>140</v>
      </c>
      <c r="I16" s="24" t="s">
        <v>111</v>
      </c>
    </row>
    <row r="17" spans="1:9">
      <c r="A17" s="24" t="s">
        <v>13</v>
      </c>
      <c r="B17" s="24" t="s">
        <v>142</v>
      </c>
      <c r="C17" s="24" t="s">
        <v>1</v>
      </c>
      <c r="D17" s="24" t="s">
        <v>143</v>
      </c>
      <c r="E17" s="23">
        <v>1</v>
      </c>
      <c r="F17" s="25">
        <v>44.57</v>
      </c>
      <c r="G17" s="26">
        <v>41426</v>
      </c>
      <c r="H17" s="24" t="s">
        <v>142</v>
      </c>
      <c r="I17" s="24" t="s">
        <v>111</v>
      </c>
    </row>
    <row r="18" spans="1:9">
      <c r="A18" s="24" t="s">
        <v>14</v>
      </c>
      <c r="B18" s="24" t="s">
        <v>144</v>
      </c>
      <c r="C18" s="24" t="s">
        <v>1</v>
      </c>
      <c r="D18" s="24" t="s">
        <v>145</v>
      </c>
      <c r="E18" s="23">
        <v>1</v>
      </c>
      <c r="F18" s="25">
        <v>39.56</v>
      </c>
      <c r="G18" s="26">
        <v>41395</v>
      </c>
      <c r="H18" s="24" t="s">
        <v>144</v>
      </c>
      <c r="I18" s="24" t="s">
        <v>111</v>
      </c>
    </row>
    <row r="19" spans="1:9">
      <c r="A19" s="24" t="s">
        <v>15</v>
      </c>
      <c r="B19" s="24" t="s">
        <v>146</v>
      </c>
      <c r="C19" s="24" t="s">
        <v>1</v>
      </c>
      <c r="D19" s="24" t="s">
        <v>147</v>
      </c>
      <c r="E19" s="23">
        <v>1</v>
      </c>
      <c r="F19" s="25">
        <v>41.56</v>
      </c>
      <c r="G19" s="26">
        <v>41395</v>
      </c>
      <c r="H19" s="24" t="s">
        <v>146</v>
      </c>
      <c r="I19" s="24" t="s">
        <v>111</v>
      </c>
    </row>
    <row r="21" spans="1:9">
      <c r="A21" s="24" t="s">
        <v>148</v>
      </c>
      <c r="B21" s="24" t="s">
        <v>149</v>
      </c>
      <c r="C21" s="24" t="s">
        <v>1</v>
      </c>
      <c r="D21" s="24" t="s">
        <v>150</v>
      </c>
      <c r="E21" s="23">
        <v>3</v>
      </c>
      <c r="F21" s="25">
        <v>27.68</v>
      </c>
      <c r="G21" s="26">
        <v>41426</v>
      </c>
      <c r="H21" s="24" t="s">
        <v>149</v>
      </c>
      <c r="I21" s="24" t="s">
        <v>111</v>
      </c>
    </row>
    <row r="22" spans="1:9">
      <c r="A22" s="24" t="s">
        <v>148</v>
      </c>
      <c r="B22" s="24" t="s">
        <v>149</v>
      </c>
      <c r="C22" s="24" t="s">
        <v>1</v>
      </c>
      <c r="D22" s="24" t="s">
        <v>150</v>
      </c>
      <c r="E22" s="23">
        <v>1</v>
      </c>
      <c r="F22" s="25">
        <v>15.22</v>
      </c>
      <c r="G22" s="26">
        <v>41426</v>
      </c>
      <c r="H22" s="24" t="s">
        <v>149</v>
      </c>
      <c r="I22" s="24" t="s">
        <v>111</v>
      </c>
    </row>
    <row r="23" spans="1:9">
      <c r="A23" s="24" t="s">
        <v>148</v>
      </c>
      <c r="B23" s="24" t="s">
        <v>149</v>
      </c>
      <c r="C23" s="24" t="s">
        <v>1</v>
      </c>
      <c r="D23" s="24" t="s">
        <v>150</v>
      </c>
      <c r="E23" s="23">
        <v>2</v>
      </c>
      <c r="F23" s="25">
        <v>22.59</v>
      </c>
      <c r="G23" s="26">
        <v>41426</v>
      </c>
      <c r="H23" s="24" t="s">
        <v>149</v>
      </c>
      <c r="I23" s="24" t="s">
        <v>111</v>
      </c>
    </row>
    <row r="24" spans="1:9">
      <c r="A24" s="24" t="s">
        <v>148</v>
      </c>
      <c r="B24" s="24" t="s">
        <v>149</v>
      </c>
      <c r="C24" s="24" t="s">
        <v>1</v>
      </c>
      <c r="D24" s="24" t="s">
        <v>150</v>
      </c>
      <c r="E24" s="23">
        <v>5</v>
      </c>
      <c r="F24" s="25">
        <v>35.28</v>
      </c>
      <c r="G24" s="26">
        <v>41426</v>
      </c>
      <c r="H24" s="24" t="s">
        <v>149</v>
      </c>
      <c r="I24" s="24" t="s">
        <v>111</v>
      </c>
    </row>
    <row r="25" spans="1:9">
      <c r="A25" s="24" t="s">
        <v>148</v>
      </c>
      <c r="B25" s="24" t="s">
        <v>149</v>
      </c>
      <c r="C25" s="24" t="s">
        <v>1</v>
      </c>
      <c r="D25" s="24" t="s">
        <v>150</v>
      </c>
      <c r="E25" s="23">
        <v>4</v>
      </c>
      <c r="F25" s="25">
        <v>31.98</v>
      </c>
      <c r="G25" s="26">
        <v>41426</v>
      </c>
      <c r="H25" s="24" t="s">
        <v>149</v>
      </c>
      <c r="I25" s="24" t="s">
        <v>111</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C4"/>
  <sheetViews>
    <sheetView workbookViewId="0">
      <selection activeCell="B15" sqref="B15"/>
    </sheetView>
  </sheetViews>
  <sheetFormatPr defaultRowHeight="15.75"/>
  <cols>
    <col min="1" max="1" width="12" customWidth="1"/>
    <col min="2" max="2" width="27.21875" customWidth="1"/>
  </cols>
  <sheetData>
    <row r="1" spans="1:3">
      <c r="B1" t="s">
        <v>92</v>
      </c>
      <c r="C1" t="s">
        <v>93</v>
      </c>
    </row>
    <row r="2" spans="1:3">
      <c r="A2" t="s">
        <v>90</v>
      </c>
      <c r="B2" s="21" t="s">
        <v>96</v>
      </c>
      <c r="C2" t="s">
        <v>91</v>
      </c>
    </row>
    <row r="3" spans="1:3">
      <c r="A3" t="s">
        <v>94</v>
      </c>
      <c r="B3" s="21" t="s">
        <v>96</v>
      </c>
      <c r="C3" t="s">
        <v>91</v>
      </c>
    </row>
    <row r="4" spans="1:3">
      <c r="A4" t="s">
        <v>95</v>
      </c>
      <c r="B4" s="21" t="s">
        <v>96</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3:Y61"/>
  <sheetViews>
    <sheetView workbookViewId="0">
      <selection activeCell="B18" sqref="B18"/>
    </sheetView>
  </sheetViews>
  <sheetFormatPr defaultColWidth="8.77734375" defaultRowHeight="12.75"/>
  <cols>
    <col min="1" max="1" width="10.44140625" style="29" customWidth="1"/>
    <col min="2" max="4" width="8.77734375" style="29"/>
    <col min="5" max="5" width="6" style="29" customWidth="1"/>
    <col min="6" max="6" width="8.21875" style="29" customWidth="1"/>
    <col min="7" max="13" width="8.77734375" style="29"/>
    <col min="14" max="14" width="8.33203125" style="29" customWidth="1"/>
    <col min="15" max="15" width="6.109375" style="29" hidden="1" customWidth="1"/>
    <col min="16" max="16384" width="8.77734375" style="29"/>
  </cols>
  <sheetData>
    <row r="3" spans="1:25" ht="23.25">
      <c r="A3" s="45" t="s">
        <v>164</v>
      </c>
      <c r="B3" s="46"/>
      <c r="E3" s="47"/>
      <c r="F3" s="48"/>
      <c r="R3" s="28"/>
    </row>
    <row r="4" spans="1:25">
      <c r="A4" s="127" t="s">
        <v>192</v>
      </c>
      <c r="B4" s="128"/>
      <c r="C4" s="129"/>
      <c r="D4" s="129"/>
      <c r="E4" s="47"/>
      <c r="F4" s="48"/>
      <c r="G4" s="49" t="s">
        <v>69</v>
      </c>
      <c r="H4" s="49"/>
      <c r="I4" s="49"/>
      <c r="J4" s="49"/>
      <c r="K4" s="49"/>
      <c r="L4" s="28"/>
      <c r="M4" s="28"/>
      <c r="N4" s="28"/>
      <c r="O4" s="28"/>
      <c r="P4" s="28"/>
      <c r="R4" s="28"/>
    </row>
    <row r="5" spans="1:25" ht="25.5">
      <c r="A5" s="130" t="s">
        <v>170</v>
      </c>
      <c r="B5" s="128"/>
      <c r="C5" s="129"/>
      <c r="D5" s="129"/>
      <c r="E5" s="47"/>
      <c r="F5" s="48"/>
      <c r="G5" s="31" t="s">
        <v>171</v>
      </c>
      <c r="H5" s="50" t="s">
        <v>42</v>
      </c>
      <c r="I5" s="50" t="s">
        <v>43</v>
      </c>
      <c r="J5" s="50" t="s">
        <v>85</v>
      </c>
      <c r="K5" s="50" t="s">
        <v>86</v>
      </c>
      <c r="L5" s="49" t="s">
        <v>29</v>
      </c>
      <c r="M5" s="49" t="s">
        <v>30</v>
      </c>
      <c r="N5" s="49" t="s">
        <v>31</v>
      </c>
      <c r="O5" s="49" t="s">
        <v>44</v>
      </c>
      <c r="P5" s="50" t="s">
        <v>33</v>
      </c>
      <c r="Q5" s="50" t="s">
        <v>73</v>
      </c>
      <c r="R5" s="28"/>
    </row>
    <row r="6" spans="1:25">
      <c r="A6" s="131" t="s">
        <v>168</v>
      </c>
      <c r="B6" s="132" t="s">
        <v>158</v>
      </c>
      <c r="C6" s="129"/>
      <c r="D6" s="129"/>
      <c r="E6" s="47"/>
      <c r="F6" s="52" t="s">
        <v>34</v>
      </c>
      <c r="G6" s="53" t="e">
        <f>'Temp Building Trades 2025'!#REF!</f>
        <v>#REF!</v>
      </c>
      <c r="H6" s="53" t="e">
        <f>G6+J6+K6</f>
        <v>#REF!</v>
      </c>
      <c r="I6" s="53" t="e">
        <f>G6+K6</f>
        <v>#REF!</v>
      </c>
      <c r="J6" s="54">
        <v>-1</v>
      </c>
      <c r="K6" s="54">
        <v>-2.0499999999999998</v>
      </c>
      <c r="L6" s="32" t="e">
        <f>'Temp Building Trades 2025'!#REF!</f>
        <v>#REF!</v>
      </c>
      <c r="M6" s="32" t="e">
        <f>'Temp Building Trades 2025'!#REF!</f>
        <v>#REF!</v>
      </c>
      <c r="N6" s="32" t="e">
        <f>'Temp Building Trades 2025'!#REF!</f>
        <v>#REF!</v>
      </c>
      <c r="O6" s="32"/>
      <c r="P6" s="32" t="e">
        <f t="shared" ref="P6:P7" si="0">L6+M6+N6</f>
        <v>#REF!</v>
      </c>
      <c r="Q6" s="33" t="e">
        <f>G6+P6</f>
        <v>#REF!</v>
      </c>
      <c r="R6" s="28"/>
    </row>
    <row r="7" spans="1:25">
      <c r="A7" s="131" t="s">
        <v>163</v>
      </c>
      <c r="B7" s="132"/>
      <c r="C7" s="129"/>
      <c r="D7" s="129"/>
      <c r="E7" s="47"/>
      <c r="F7" s="52" t="s">
        <v>32</v>
      </c>
      <c r="G7" s="53" t="e">
        <f>G6*1.5</f>
        <v>#REF!</v>
      </c>
      <c r="H7" s="53" t="e">
        <f>H6*1.5</f>
        <v>#REF!</v>
      </c>
      <c r="I7" s="53" t="e">
        <f>I6*1.5</f>
        <v>#REF!</v>
      </c>
      <c r="J7" s="54">
        <f>J6</f>
        <v>-1</v>
      </c>
      <c r="K7" s="54">
        <f>K6</f>
        <v>-2.0499999999999998</v>
      </c>
      <c r="L7" s="32" t="e">
        <f>L6</f>
        <v>#REF!</v>
      </c>
      <c r="M7" s="32" t="e">
        <f>M6</f>
        <v>#REF!</v>
      </c>
      <c r="N7" s="32" t="e">
        <f>N6</f>
        <v>#REF!</v>
      </c>
      <c r="O7" s="32"/>
      <c r="P7" s="32" t="e">
        <f t="shared" si="0"/>
        <v>#REF!</v>
      </c>
      <c r="Q7" s="33"/>
      <c r="R7" s="28"/>
    </row>
    <row r="8" spans="1:25">
      <c r="G8" s="33">
        <f>'Temp Building Trades 2025'!L84</f>
        <v>48</v>
      </c>
    </row>
    <row r="9" spans="1:25" ht="15.75">
      <c r="A9" s="47" t="s">
        <v>169</v>
      </c>
      <c r="B9" s="137" t="s">
        <v>195</v>
      </c>
      <c r="C9" s="138"/>
      <c r="D9" s="135"/>
      <c r="E9" s="35"/>
      <c r="F9" s="35"/>
      <c r="G9" s="57" t="s">
        <v>69</v>
      </c>
      <c r="H9" s="57"/>
      <c r="I9" s="57"/>
      <c r="J9" s="57"/>
      <c r="K9" s="57"/>
      <c r="L9" s="57"/>
      <c r="M9" s="57"/>
      <c r="N9" s="57"/>
      <c r="O9" s="57"/>
      <c r="P9" s="57"/>
      <c r="Q9" s="58"/>
      <c r="R9" s="35"/>
      <c r="S9" s="36"/>
      <c r="T9" s="36"/>
      <c r="U9" s="36"/>
    </row>
    <row r="10" spans="1:25" ht="26.25">
      <c r="A10" s="47" t="s">
        <v>163</v>
      </c>
      <c r="B10" s="37" t="s">
        <v>165</v>
      </c>
      <c r="C10" s="34"/>
      <c r="D10" s="35"/>
      <c r="E10" s="35"/>
      <c r="F10" s="35"/>
      <c r="G10" s="31" t="s">
        <v>171</v>
      </c>
      <c r="H10" s="50" t="s">
        <v>42</v>
      </c>
      <c r="I10" s="50" t="s">
        <v>43</v>
      </c>
      <c r="J10" s="50" t="s">
        <v>85</v>
      </c>
      <c r="K10" s="50" t="s">
        <v>86</v>
      </c>
      <c r="L10" s="49" t="s">
        <v>29</v>
      </c>
      <c r="M10" s="49" t="s">
        <v>30</v>
      </c>
      <c r="N10" s="49" t="s">
        <v>31</v>
      </c>
      <c r="O10" s="49" t="s">
        <v>44</v>
      </c>
      <c r="P10" s="50" t="s">
        <v>33</v>
      </c>
      <c r="Q10" s="59" t="s">
        <v>73</v>
      </c>
      <c r="R10" s="35"/>
      <c r="S10" s="36"/>
      <c r="T10" s="36"/>
      <c r="U10" s="36"/>
    </row>
    <row r="11" spans="1:25" ht="15.75">
      <c r="B11" s="37" t="s">
        <v>167</v>
      </c>
      <c r="C11" s="37"/>
      <c r="D11" s="37"/>
      <c r="E11" s="49">
        <v>0.9</v>
      </c>
      <c r="F11" s="133" t="s">
        <v>180</v>
      </c>
      <c r="G11" s="134">
        <f>G8*0.9</f>
        <v>43.2</v>
      </c>
      <c r="H11" s="76">
        <v>28.785</v>
      </c>
      <c r="I11" s="76">
        <v>29.785</v>
      </c>
      <c r="J11" s="56">
        <v>-1</v>
      </c>
      <c r="K11" s="56">
        <v>-1.94</v>
      </c>
      <c r="L11" s="40">
        <v>7.75</v>
      </c>
      <c r="M11" s="40">
        <v>10.64</v>
      </c>
      <c r="N11" s="40">
        <v>0.53</v>
      </c>
      <c r="O11" s="40"/>
      <c r="P11" s="40">
        <v>18.91</v>
      </c>
      <c r="Q11" s="56">
        <v>50.635000000000005</v>
      </c>
      <c r="R11" s="35"/>
      <c r="S11" s="40"/>
      <c r="T11" s="41"/>
      <c r="U11" s="40"/>
      <c r="V11" s="35"/>
      <c r="W11" s="36"/>
      <c r="X11" s="36"/>
      <c r="Y11" s="40"/>
    </row>
    <row r="12" spans="1:25" ht="15.75">
      <c r="B12" s="37" t="s">
        <v>196</v>
      </c>
      <c r="C12" s="38"/>
      <c r="D12" s="39"/>
      <c r="E12" s="39"/>
      <c r="F12" s="39"/>
      <c r="G12" s="40"/>
      <c r="H12" s="40"/>
      <c r="I12" s="40"/>
      <c r="J12" s="40"/>
      <c r="K12" s="40"/>
      <c r="L12" s="40"/>
      <c r="M12" s="42"/>
      <c r="N12" s="43"/>
      <c r="O12" s="40"/>
      <c r="P12" s="40"/>
      <c r="Q12" s="40"/>
      <c r="R12" s="43"/>
      <c r="S12" s="36"/>
      <c r="T12" s="36"/>
      <c r="U12" s="36"/>
    </row>
    <row r="13" spans="1:25" s="136" customFormat="1" ht="4.5" customHeight="1"/>
    <row r="14" spans="1:25" ht="30" customHeight="1">
      <c r="A14" s="30" t="s">
        <v>193</v>
      </c>
      <c r="B14" s="46"/>
      <c r="E14" s="47"/>
      <c r="F14" s="48"/>
      <c r="G14" s="49" t="s">
        <v>69</v>
      </c>
      <c r="H14" s="49"/>
      <c r="I14" s="49"/>
      <c r="J14" s="49"/>
      <c r="K14" s="49"/>
      <c r="L14" s="28"/>
      <c r="M14" s="28"/>
      <c r="N14" s="28"/>
      <c r="O14" s="28"/>
      <c r="P14" s="28"/>
      <c r="R14" s="28"/>
    </row>
    <row r="15" spans="1:25" ht="25.5">
      <c r="A15" s="51" t="s">
        <v>170</v>
      </c>
      <c r="B15" s="46"/>
      <c r="E15" s="47"/>
      <c r="F15" s="48"/>
      <c r="G15" s="31" t="s">
        <v>171</v>
      </c>
      <c r="H15" s="50" t="s">
        <v>42</v>
      </c>
      <c r="I15" s="50" t="s">
        <v>43</v>
      </c>
      <c r="J15" s="50" t="s">
        <v>85</v>
      </c>
      <c r="K15" s="50" t="s">
        <v>86</v>
      </c>
      <c r="L15" s="49" t="s">
        <v>29</v>
      </c>
      <c r="M15" s="49" t="s">
        <v>30</v>
      </c>
      <c r="N15" s="49" t="s">
        <v>31</v>
      </c>
      <c r="O15" s="49" t="s">
        <v>44</v>
      </c>
      <c r="P15" s="50" t="s">
        <v>33</v>
      </c>
      <c r="Q15" s="50" t="s">
        <v>73</v>
      </c>
      <c r="R15" s="28"/>
    </row>
    <row r="16" spans="1:25">
      <c r="A16" s="47" t="s">
        <v>168</v>
      </c>
      <c r="B16" s="27" t="s">
        <v>158</v>
      </c>
      <c r="E16" s="47"/>
      <c r="F16" s="52" t="s">
        <v>34</v>
      </c>
      <c r="G16" s="53" t="e">
        <f>'Temp Building Trades 2025'!#REF!</f>
        <v>#REF!</v>
      </c>
      <c r="H16" s="53" t="e">
        <f>G16+J16+K16</f>
        <v>#REF!</v>
      </c>
      <c r="I16" s="53" t="e">
        <f>G16+K16</f>
        <v>#REF!</v>
      </c>
      <c r="J16" s="54">
        <v>-1</v>
      </c>
      <c r="K16" s="54">
        <v>-2.0499999999999998</v>
      </c>
      <c r="L16" s="32" t="e">
        <f>'Temp Building Trades 2025'!#REF!</f>
        <v>#REF!</v>
      </c>
      <c r="M16" s="32" t="e">
        <f>'Temp Building Trades 2025'!#REF!</f>
        <v>#REF!</v>
      </c>
      <c r="N16" s="32" t="e">
        <f>'Temp Building Trades 2025'!#REF!</f>
        <v>#REF!</v>
      </c>
      <c r="O16" s="32"/>
      <c r="P16" s="32" t="e">
        <f t="shared" ref="P16:P17" si="1">L16+M16+N16</f>
        <v>#REF!</v>
      </c>
      <c r="Q16" s="33" t="e">
        <f>G16+P16</f>
        <v>#REF!</v>
      </c>
      <c r="R16" s="28"/>
    </row>
    <row r="17" spans="1:25">
      <c r="A17" s="47" t="s">
        <v>163</v>
      </c>
      <c r="B17" s="27"/>
      <c r="E17" s="47"/>
      <c r="F17" s="52" t="s">
        <v>32</v>
      </c>
      <c r="G17" s="53" t="e">
        <f>G16*1.5</f>
        <v>#REF!</v>
      </c>
      <c r="H17" s="53" t="e">
        <f>H16*1.5</f>
        <v>#REF!</v>
      </c>
      <c r="I17" s="53" t="e">
        <f>I16*1.5</f>
        <v>#REF!</v>
      </c>
      <c r="J17" s="54">
        <f>J16</f>
        <v>-1</v>
      </c>
      <c r="K17" s="54">
        <f>K16</f>
        <v>-2.0499999999999998</v>
      </c>
      <c r="L17" s="32" t="e">
        <f>L16</f>
        <v>#REF!</v>
      </c>
      <c r="M17" s="32" t="e">
        <f>M16</f>
        <v>#REF!</v>
      </c>
      <c r="N17" s="32" t="e">
        <f>N16</f>
        <v>#REF!</v>
      </c>
      <c r="O17" s="32"/>
      <c r="P17" s="32" t="e">
        <f t="shared" si="1"/>
        <v>#REF!</v>
      </c>
      <c r="Q17" s="33"/>
      <c r="R17" s="28"/>
    </row>
    <row r="18" spans="1:25">
      <c r="A18" s="47"/>
      <c r="B18" s="46" t="s">
        <v>159</v>
      </c>
      <c r="E18" s="49">
        <v>0.5</v>
      </c>
      <c r="F18" s="48" t="s">
        <v>179</v>
      </c>
      <c r="G18" s="124" t="e">
        <f>G$6*E18</f>
        <v>#REF!</v>
      </c>
      <c r="H18" s="56" t="e">
        <f>G18+J18+K18</f>
        <v>#REF!</v>
      </c>
      <c r="I18" s="56" t="e">
        <f>G18+K18</f>
        <v>#REF!</v>
      </c>
      <c r="J18" s="56">
        <v>-1</v>
      </c>
      <c r="K18" s="55">
        <v>-1.32</v>
      </c>
      <c r="L18" s="56" t="e">
        <f>L$6</f>
        <v>#REF!</v>
      </c>
      <c r="M18" s="56">
        <v>5.38</v>
      </c>
      <c r="N18" s="56">
        <v>0.6</v>
      </c>
      <c r="O18" s="28"/>
      <c r="P18" s="56" t="e">
        <f t="shared" ref="P18:P21" si="2">N18+M18+L18</f>
        <v>#REF!</v>
      </c>
      <c r="Q18" s="56" t="e">
        <f>G18+P18</f>
        <v>#REF!</v>
      </c>
      <c r="R18" s="28"/>
    </row>
    <row r="19" spans="1:25">
      <c r="A19" s="47"/>
      <c r="B19" s="46" t="s">
        <v>160</v>
      </c>
      <c r="E19" s="49">
        <v>0.65</v>
      </c>
      <c r="F19" s="48" t="s">
        <v>180</v>
      </c>
      <c r="G19" s="124" t="e">
        <f>G$6*E19</f>
        <v>#REF!</v>
      </c>
      <c r="H19" s="56" t="e">
        <f>G19+J19+K19</f>
        <v>#REF!</v>
      </c>
      <c r="I19" s="56" t="e">
        <f>G19+K19</f>
        <v>#REF!</v>
      </c>
      <c r="J19" s="56">
        <v>-1</v>
      </c>
      <c r="K19" s="55">
        <v>-1.51</v>
      </c>
      <c r="L19" s="56" t="e">
        <f>L$6</f>
        <v>#REF!</v>
      </c>
      <c r="M19" s="56">
        <v>5.38</v>
      </c>
      <c r="N19" s="56">
        <v>0.6</v>
      </c>
      <c r="O19" s="28"/>
      <c r="P19" s="56" t="e">
        <f t="shared" si="2"/>
        <v>#REF!</v>
      </c>
      <c r="Q19" s="56" t="e">
        <f>G19+P19</f>
        <v>#REF!</v>
      </c>
      <c r="R19" s="28"/>
    </row>
    <row r="20" spans="1:25">
      <c r="A20" s="47"/>
      <c r="B20" s="46" t="s">
        <v>161</v>
      </c>
      <c r="E20" s="49">
        <v>0.8</v>
      </c>
      <c r="F20" s="48" t="s">
        <v>181</v>
      </c>
      <c r="G20" s="124" t="e">
        <f>G$6*E20</f>
        <v>#REF!</v>
      </c>
      <c r="H20" s="56" t="e">
        <f>G20+J20+K20</f>
        <v>#REF!</v>
      </c>
      <c r="I20" s="56" t="e">
        <f>G20+K20</f>
        <v>#REF!</v>
      </c>
      <c r="J20" s="56">
        <v>-1</v>
      </c>
      <c r="K20" s="55">
        <v>-1.69</v>
      </c>
      <c r="L20" s="56" t="e">
        <f>L$6</f>
        <v>#REF!</v>
      </c>
      <c r="M20" s="56">
        <v>5.38</v>
      </c>
      <c r="N20" s="56">
        <v>0.6</v>
      </c>
      <c r="O20" s="28"/>
      <c r="P20" s="56" t="e">
        <f t="shared" si="2"/>
        <v>#REF!</v>
      </c>
      <c r="Q20" s="56" t="e">
        <f>G20+P20</f>
        <v>#REF!</v>
      </c>
      <c r="R20" s="28"/>
    </row>
    <row r="21" spans="1:25">
      <c r="A21" s="47"/>
      <c r="B21" s="46" t="s">
        <v>162</v>
      </c>
      <c r="E21" s="49">
        <v>0.9</v>
      </c>
      <c r="F21" s="48" t="s">
        <v>182</v>
      </c>
      <c r="G21" s="124" t="e">
        <f>G$6*E21</f>
        <v>#REF!</v>
      </c>
      <c r="H21" s="56" t="e">
        <f>G21+J21+K21</f>
        <v>#REF!</v>
      </c>
      <c r="I21" s="56" t="e">
        <f>G21+K21</f>
        <v>#REF!</v>
      </c>
      <c r="J21" s="56">
        <v>-1</v>
      </c>
      <c r="K21" s="55">
        <v>-1.81</v>
      </c>
      <c r="L21" s="56" t="e">
        <f>L$6</f>
        <v>#REF!</v>
      </c>
      <c r="M21" s="56">
        <v>5.38</v>
      </c>
      <c r="N21" s="56">
        <v>0.6</v>
      </c>
      <c r="O21" s="28"/>
      <c r="P21" s="56" t="e">
        <f t="shared" si="2"/>
        <v>#REF!</v>
      </c>
      <c r="Q21" s="56" t="e">
        <f>G21+P21</f>
        <v>#REF!</v>
      </c>
      <c r="R21" s="28"/>
    </row>
    <row r="22" spans="1:25">
      <c r="A22" s="47"/>
      <c r="B22" s="46"/>
      <c r="E22" s="49"/>
      <c r="F22" s="48"/>
      <c r="G22" s="55"/>
      <c r="H22" s="55"/>
      <c r="I22" s="55"/>
      <c r="J22" s="49"/>
      <c r="K22" s="49"/>
      <c r="L22" s="28"/>
      <c r="M22" s="28"/>
      <c r="N22" s="28"/>
      <c r="O22" s="28"/>
      <c r="P22" s="28"/>
      <c r="R22" s="28"/>
    </row>
    <row r="23" spans="1:25">
      <c r="A23" s="47"/>
      <c r="B23" s="46"/>
      <c r="E23" s="47"/>
      <c r="F23" s="48"/>
      <c r="G23" s="55"/>
      <c r="H23" s="55"/>
      <c r="I23" s="55"/>
      <c r="J23" s="49"/>
      <c r="K23" s="49"/>
      <c r="L23" s="28"/>
      <c r="M23" s="28"/>
      <c r="N23" s="28"/>
      <c r="O23" s="28"/>
      <c r="P23" s="28"/>
      <c r="R23" s="28"/>
    </row>
    <row r="25" spans="1:25" ht="15.75">
      <c r="A25" s="47" t="s">
        <v>169</v>
      </c>
      <c r="B25" s="125" t="s">
        <v>195</v>
      </c>
      <c r="C25" s="34"/>
      <c r="D25" s="35"/>
      <c r="E25" s="35"/>
      <c r="F25" s="35"/>
      <c r="G25" s="57" t="s">
        <v>69</v>
      </c>
      <c r="H25" s="57"/>
      <c r="I25" s="57"/>
      <c r="J25" s="57"/>
      <c r="K25" s="57"/>
      <c r="L25" s="57"/>
      <c r="M25" s="57"/>
      <c r="N25" s="57"/>
      <c r="O25" s="57"/>
      <c r="P25" s="57"/>
      <c r="Q25" s="58"/>
      <c r="R25" s="35"/>
      <c r="S25" s="36"/>
      <c r="T25" s="36"/>
      <c r="U25" s="36"/>
    </row>
    <row r="26" spans="1:25" ht="26.25">
      <c r="A26" s="47" t="s">
        <v>163</v>
      </c>
      <c r="B26" s="37" t="s">
        <v>165</v>
      </c>
      <c r="C26" s="34"/>
      <c r="D26" s="35"/>
      <c r="E26" s="35"/>
      <c r="F26" s="35"/>
      <c r="G26" s="31" t="s">
        <v>171</v>
      </c>
      <c r="H26" s="50" t="s">
        <v>42</v>
      </c>
      <c r="I26" s="50" t="s">
        <v>43</v>
      </c>
      <c r="J26" s="50" t="s">
        <v>85</v>
      </c>
      <c r="K26" s="50" t="s">
        <v>86</v>
      </c>
      <c r="L26" s="49" t="s">
        <v>29</v>
      </c>
      <c r="M26" s="49" t="s">
        <v>30</v>
      </c>
      <c r="N26" s="49" t="s">
        <v>31</v>
      </c>
      <c r="O26" s="49" t="s">
        <v>44</v>
      </c>
      <c r="P26" s="50" t="s">
        <v>33</v>
      </c>
      <c r="Q26" s="59" t="s">
        <v>73</v>
      </c>
      <c r="R26" s="35"/>
      <c r="S26" s="36"/>
      <c r="T26" s="36"/>
      <c r="U26" s="36"/>
    </row>
    <row r="27" spans="1:25" ht="15.75">
      <c r="B27" s="37" t="s">
        <v>166</v>
      </c>
      <c r="C27" s="37"/>
      <c r="D27" s="37"/>
      <c r="E27" s="49">
        <v>0.8</v>
      </c>
      <c r="F27" s="48" t="s">
        <v>179</v>
      </c>
      <c r="G27" s="126" t="e">
        <f>G$6*E27</f>
        <v>#REF!</v>
      </c>
      <c r="H27" s="76" t="e">
        <f t="shared" ref="H27:H28" si="3">G27+J27+K27</f>
        <v>#REF!</v>
      </c>
      <c r="I27" s="76" t="e">
        <f t="shared" ref="I27:I28" si="4">G27+K27</f>
        <v>#REF!</v>
      </c>
      <c r="J27" s="56">
        <v>-1</v>
      </c>
      <c r="K27" s="56">
        <v>-1.87</v>
      </c>
      <c r="L27" s="40">
        <v>7.95</v>
      </c>
      <c r="M27" s="40">
        <v>10.64</v>
      </c>
      <c r="N27" s="40">
        <v>0.6</v>
      </c>
      <c r="O27" s="40"/>
      <c r="P27" s="40">
        <f>N27+M27+L27</f>
        <v>19.190000000000001</v>
      </c>
      <c r="Q27" s="56" t="e">
        <f t="shared" ref="Q27:Q28" si="5">G27+P27</f>
        <v>#REF!</v>
      </c>
      <c r="R27" s="39"/>
      <c r="S27" s="40"/>
      <c r="T27" s="41"/>
      <c r="U27" s="40"/>
      <c r="V27" s="35"/>
      <c r="W27" s="36"/>
      <c r="X27" s="36"/>
      <c r="Y27" s="40"/>
    </row>
    <row r="28" spans="1:25" ht="15.75">
      <c r="B28" s="37" t="s">
        <v>167</v>
      </c>
      <c r="C28" s="37"/>
      <c r="D28" s="37"/>
      <c r="E28" s="49">
        <v>0.9</v>
      </c>
      <c r="F28" s="48" t="s">
        <v>180</v>
      </c>
      <c r="G28" s="126" t="e">
        <f>G$6*E28</f>
        <v>#REF!</v>
      </c>
      <c r="H28" s="76" t="e">
        <f t="shared" si="3"/>
        <v>#REF!</v>
      </c>
      <c r="I28" s="76" t="e">
        <f t="shared" si="4"/>
        <v>#REF!</v>
      </c>
      <c r="J28" s="56">
        <v>-1</v>
      </c>
      <c r="K28" s="56">
        <v>-2</v>
      </c>
      <c r="L28" s="40">
        <v>7.95</v>
      </c>
      <c r="M28" s="40">
        <v>10.64</v>
      </c>
      <c r="N28" s="40">
        <v>0.6</v>
      </c>
      <c r="O28" s="40"/>
      <c r="P28" s="40">
        <f>N28+M28+L28</f>
        <v>19.190000000000001</v>
      </c>
      <c r="Q28" s="56" t="e">
        <f t="shared" si="5"/>
        <v>#REF!</v>
      </c>
      <c r="R28" s="35"/>
      <c r="S28" s="40"/>
      <c r="T28" s="41"/>
      <c r="U28" s="40"/>
      <c r="V28" s="35"/>
      <c r="W28" s="36"/>
      <c r="X28" s="36"/>
      <c r="Y28" s="40"/>
    </row>
    <row r="29" spans="1:25" ht="15.75">
      <c r="B29" s="37" t="s">
        <v>196</v>
      </c>
      <c r="C29" s="38"/>
      <c r="D29" s="39"/>
      <c r="E29" s="39"/>
      <c r="F29" s="39"/>
      <c r="G29" s="40"/>
      <c r="H29" s="40"/>
      <c r="I29" s="40"/>
      <c r="J29" s="40"/>
      <c r="K29" s="40"/>
      <c r="L29" s="40"/>
      <c r="M29" s="42"/>
      <c r="N29" s="43"/>
      <c r="O29" s="40"/>
      <c r="P29" s="40"/>
      <c r="Q29" s="40"/>
      <c r="R29" s="43"/>
      <c r="S29" s="36"/>
      <c r="T29" s="36"/>
      <c r="U29" s="36"/>
    </row>
    <row r="30" spans="1:25" ht="15">
      <c r="G30" s="38"/>
      <c r="L30" s="39"/>
      <c r="M30" s="39"/>
      <c r="N30" s="39"/>
      <c r="P30" s="56"/>
    </row>
    <row r="31" spans="1:25" ht="15">
      <c r="A31" s="47" t="s">
        <v>198</v>
      </c>
      <c r="B31" s="125" t="s">
        <v>194</v>
      </c>
      <c r="C31" s="34"/>
      <c r="D31" s="35"/>
      <c r="E31" s="35"/>
      <c r="F31" s="35"/>
      <c r="G31" s="57" t="s">
        <v>69</v>
      </c>
      <c r="H31" s="57"/>
      <c r="I31" s="57"/>
      <c r="J31" s="57"/>
      <c r="K31" s="57"/>
      <c r="L31" s="57"/>
      <c r="M31" s="57"/>
      <c r="N31" s="57"/>
      <c r="O31" s="57"/>
      <c r="P31" s="57"/>
      <c r="Q31" s="58"/>
    </row>
    <row r="32" spans="1:25" ht="26.25">
      <c r="A32" s="47" t="s">
        <v>163</v>
      </c>
      <c r="B32" s="37" t="s">
        <v>165</v>
      </c>
      <c r="C32" s="34"/>
      <c r="D32" s="35"/>
      <c r="E32" s="35"/>
      <c r="F32" s="35"/>
      <c r="G32" s="31" t="s">
        <v>171</v>
      </c>
      <c r="H32" s="50" t="s">
        <v>42</v>
      </c>
      <c r="I32" s="50" t="s">
        <v>43</v>
      </c>
      <c r="J32" s="50" t="s">
        <v>85</v>
      </c>
      <c r="K32" s="50" t="s">
        <v>86</v>
      </c>
      <c r="L32" s="49" t="s">
        <v>29</v>
      </c>
      <c r="M32" s="49" t="s">
        <v>30</v>
      </c>
      <c r="N32" s="49" t="s">
        <v>31</v>
      </c>
      <c r="O32" s="49" t="s">
        <v>44</v>
      </c>
      <c r="P32" s="50" t="s">
        <v>33</v>
      </c>
      <c r="Q32" s="59" t="s">
        <v>73</v>
      </c>
    </row>
    <row r="33" spans="1:17" ht="15">
      <c r="B33" s="37" t="s">
        <v>166</v>
      </c>
      <c r="C33" s="37"/>
      <c r="D33" s="37"/>
      <c r="E33" s="49">
        <v>0.8</v>
      </c>
      <c r="F33" s="48" t="s">
        <v>179</v>
      </c>
      <c r="G33" s="126" t="e">
        <f>G$6*E33</f>
        <v>#REF!</v>
      </c>
      <c r="H33" s="76" t="e">
        <f t="shared" ref="H33:H34" si="6">G33+J33+K33</f>
        <v>#REF!</v>
      </c>
      <c r="I33" s="76" t="e">
        <f t="shared" ref="I33:I34" si="7">G33+K33</f>
        <v>#REF!</v>
      </c>
      <c r="J33" s="56">
        <v>-1</v>
      </c>
      <c r="K33" s="56">
        <v>-1.87</v>
      </c>
      <c r="L33" s="40">
        <v>7.95</v>
      </c>
      <c r="M33" s="40">
        <v>10.64</v>
      </c>
      <c r="N33" s="40">
        <v>0.6</v>
      </c>
      <c r="O33" s="40"/>
      <c r="P33" s="40">
        <f t="shared" ref="P33:P34" si="8">N33+M33+L33</f>
        <v>19.190000000000001</v>
      </c>
      <c r="Q33" s="56" t="e">
        <f t="shared" ref="Q33:Q34" si="9">G33+P33</f>
        <v>#REF!</v>
      </c>
    </row>
    <row r="34" spans="1:17" ht="15">
      <c r="B34" s="37">
        <v>85</v>
      </c>
      <c r="C34" s="37"/>
      <c r="D34" s="37"/>
      <c r="E34" s="49">
        <v>0.85</v>
      </c>
      <c r="F34" s="48" t="s">
        <v>180</v>
      </c>
      <c r="G34" s="126" t="e">
        <f>G$6*E34</f>
        <v>#REF!</v>
      </c>
      <c r="H34" s="76" t="e">
        <f t="shared" si="6"/>
        <v>#REF!</v>
      </c>
      <c r="I34" s="76" t="e">
        <f t="shared" si="7"/>
        <v>#REF!</v>
      </c>
      <c r="J34" s="56">
        <v>-1</v>
      </c>
      <c r="K34" s="56">
        <v>-1.94</v>
      </c>
      <c r="L34" s="40">
        <v>7.95</v>
      </c>
      <c r="M34" s="40">
        <v>10.64</v>
      </c>
      <c r="N34" s="40">
        <v>0.6</v>
      </c>
      <c r="O34" s="40"/>
      <c r="P34" s="40">
        <f t="shared" si="8"/>
        <v>19.190000000000001</v>
      </c>
      <c r="Q34" s="56" t="e">
        <f t="shared" si="9"/>
        <v>#REF!</v>
      </c>
    </row>
    <row r="35" spans="1:17" ht="15.75">
      <c r="B35" s="37" t="s">
        <v>197</v>
      </c>
      <c r="C35" s="38"/>
      <c r="D35" s="39"/>
      <c r="E35" s="39"/>
      <c r="F35" s="39"/>
      <c r="G35" s="40"/>
      <c r="H35" s="40"/>
      <c r="I35" s="40"/>
      <c r="J35" s="40"/>
      <c r="K35" s="40"/>
      <c r="L35" s="40"/>
      <c r="M35" s="42"/>
      <c r="N35" s="43"/>
      <c r="O35" s="40"/>
      <c r="P35" s="40"/>
      <c r="Q35" s="40"/>
    </row>
    <row r="39" spans="1:17" ht="23.25">
      <c r="A39" s="45"/>
      <c r="B39" s="46"/>
      <c r="E39" s="47"/>
      <c r="F39" s="48"/>
    </row>
    <row r="40" spans="1:17">
      <c r="A40" s="30"/>
      <c r="B40" s="46"/>
      <c r="E40" s="47"/>
      <c r="F40" s="48"/>
      <c r="G40" s="49"/>
      <c r="H40" s="49"/>
      <c r="I40" s="49"/>
      <c r="J40" s="49"/>
      <c r="K40" s="49"/>
      <c r="L40" s="28"/>
      <c r="M40" s="28"/>
      <c r="N40" s="28"/>
      <c r="O40" s="28"/>
      <c r="P40" s="28"/>
    </row>
    <row r="41" spans="1:17">
      <c r="A41" s="51"/>
      <c r="B41" s="46"/>
      <c r="E41" s="47"/>
      <c r="F41" s="48"/>
      <c r="G41" s="31"/>
      <c r="H41" s="50"/>
      <c r="I41" s="50"/>
      <c r="J41" s="50"/>
      <c r="K41" s="50"/>
      <c r="L41" s="49"/>
      <c r="M41" s="49"/>
      <c r="N41" s="49"/>
      <c r="O41" s="49"/>
      <c r="P41" s="50"/>
      <c r="Q41" s="50"/>
    </row>
    <row r="42" spans="1:17">
      <c r="A42" s="47"/>
      <c r="B42" s="27"/>
      <c r="E42" s="47"/>
      <c r="F42" s="52"/>
      <c r="G42" s="53"/>
      <c r="H42" s="53"/>
      <c r="I42" s="53"/>
      <c r="J42" s="54"/>
      <c r="K42" s="54"/>
      <c r="L42" s="32"/>
      <c r="M42" s="32"/>
      <c r="N42" s="32"/>
      <c r="O42" s="32"/>
      <c r="P42" s="32"/>
      <c r="Q42" s="33"/>
    </row>
    <row r="43" spans="1:17">
      <c r="A43" s="47"/>
      <c r="B43" s="27"/>
      <c r="E43" s="47"/>
      <c r="F43" s="52"/>
      <c r="G43" s="53"/>
      <c r="H43" s="53"/>
      <c r="I43" s="53"/>
      <c r="J43" s="54"/>
      <c r="K43" s="54"/>
      <c r="L43" s="32"/>
      <c r="M43" s="32"/>
      <c r="N43" s="32"/>
      <c r="O43" s="32"/>
      <c r="P43" s="32"/>
      <c r="Q43" s="33"/>
    </row>
    <row r="44" spans="1:17">
      <c r="A44" s="47"/>
      <c r="B44" s="46"/>
      <c r="E44" s="49"/>
      <c r="F44" s="48"/>
      <c r="G44" s="124"/>
      <c r="H44" s="56"/>
      <c r="I44" s="56"/>
      <c r="J44" s="56"/>
      <c r="K44" s="55"/>
      <c r="L44" s="56"/>
      <c r="M44" s="56"/>
      <c r="N44" s="56"/>
      <c r="O44" s="28"/>
      <c r="P44" s="56"/>
      <c r="Q44" s="56"/>
    </row>
    <row r="45" spans="1:17">
      <c r="A45" s="47"/>
      <c r="B45" s="46"/>
      <c r="E45" s="49"/>
      <c r="F45" s="48"/>
      <c r="G45" s="124"/>
      <c r="H45" s="56"/>
      <c r="I45" s="56"/>
      <c r="J45" s="56"/>
      <c r="K45" s="55"/>
      <c r="L45" s="56"/>
      <c r="M45" s="56"/>
      <c r="N45" s="56"/>
      <c r="O45" s="28"/>
      <c r="P45" s="56"/>
      <c r="Q45" s="56"/>
    </row>
    <row r="46" spans="1:17">
      <c r="A46" s="47"/>
      <c r="B46" s="46"/>
      <c r="E46" s="49"/>
      <c r="F46" s="48"/>
      <c r="G46" s="124"/>
      <c r="H46" s="56"/>
      <c r="I46" s="56"/>
      <c r="J46" s="56"/>
      <c r="K46" s="55"/>
      <c r="L46" s="56"/>
      <c r="M46" s="56"/>
      <c r="N46" s="56"/>
      <c r="O46" s="28"/>
      <c r="P46" s="56"/>
      <c r="Q46" s="56"/>
    </row>
    <row r="47" spans="1:17">
      <c r="A47" s="47"/>
      <c r="B47" s="46"/>
      <c r="E47" s="49"/>
      <c r="F47" s="48"/>
      <c r="G47" s="124"/>
      <c r="H47" s="56"/>
      <c r="I47" s="56"/>
      <c r="J47" s="56"/>
      <c r="K47" s="55"/>
      <c r="L47" s="56"/>
      <c r="M47" s="56"/>
      <c r="N47" s="56"/>
      <c r="O47" s="28"/>
      <c r="P47" s="56"/>
      <c r="Q47" s="56"/>
    </row>
    <row r="48" spans="1:17">
      <c r="A48" s="47"/>
      <c r="B48" s="46"/>
      <c r="E48" s="49"/>
      <c r="F48" s="48"/>
      <c r="G48" s="55"/>
      <c r="H48" s="55"/>
      <c r="I48" s="55"/>
      <c r="J48" s="49"/>
      <c r="K48" s="49"/>
      <c r="L48" s="28"/>
      <c r="M48" s="28"/>
      <c r="N48" s="28"/>
      <c r="O48" s="28"/>
      <c r="P48" s="28"/>
    </row>
    <row r="49" spans="1:17">
      <c r="A49" s="47"/>
      <c r="B49" s="27"/>
      <c r="E49" s="49"/>
      <c r="F49" s="52"/>
      <c r="G49" s="53"/>
      <c r="H49" s="53"/>
      <c r="I49" s="53"/>
      <c r="J49" s="54"/>
      <c r="K49" s="54"/>
      <c r="L49" s="32"/>
      <c r="M49" s="32"/>
      <c r="N49" s="32"/>
      <c r="O49" s="32"/>
      <c r="P49" s="32"/>
      <c r="Q49" s="33"/>
    </row>
    <row r="50" spans="1:17">
      <c r="A50" s="47"/>
      <c r="B50" s="27"/>
      <c r="E50" s="49"/>
      <c r="F50" s="52"/>
      <c r="G50" s="53"/>
      <c r="H50" s="53"/>
      <c r="I50" s="53"/>
      <c r="J50" s="54"/>
      <c r="K50" s="54"/>
      <c r="L50" s="32"/>
      <c r="M50" s="32"/>
      <c r="N50" s="32"/>
      <c r="O50" s="32"/>
      <c r="P50" s="32"/>
      <c r="Q50" s="33"/>
    </row>
    <row r="51" spans="1:17">
      <c r="A51" s="47"/>
      <c r="B51" s="46"/>
      <c r="E51" s="49"/>
      <c r="F51" s="48"/>
      <c r="G51" s="55"/>
      <c r="H51" s="55"/>
      <c r="I51" s="55"/>
      <c r="J51" s="49"/>
      <c r="K51" s="49"/>
      <c r="L51" s="28"/>
      <c r="M51" s="28"/>
      <c r="N51" s="28"/>
      <c r="O51" s="28"/>
      <c r="P51" s="28"/>
      <c r="Q51" s="33"/>
    </row>
    <row r="52" spans="1:17">
      <c r="A52" s="47"/>
      <c r="B52" s="46"/>
      <c r="E52" s="49"/>
      <c r="F52" s="48"/>
      <c r="G52" s="124"/>
      <c r="H52" s="56"/>
      <c r="I52" s="56"/>
      <c r="J52" s="56"/>
      <c r="K52" s="56"/>
      <c r="L52" s="56"/>
      <c r="M52" s="56"/>
      <c r="N52" s="56"/>
      <c r="O52" s="28"/>
      <c r="P52" s="56"/>
      <c r="Q52" s="56"/>
    </row>
    <row r="53" spans="1:17">
      <c r="A53" s="47"/>
      <c r="B53" s="46"/>
      <c r="E53" s="49"/>
      <c r="F53" s="48"/>
      <c r="G53" s="124"/>
      <c r="H53" s="56"/>
      <c r="I53" s="56"/>
      <c r="J53" s="56"/>
      <c r="K53" s="56"/>
      <c r="L53" s="56"/>
      <c r="M53" s="56"/>
      <c r="N53" s="56"/>
      <c r="O53" s="28"/>
      <c r="P53" s="56"/>
      <c r="Q53" s="56"/>
    </row>
    <row r="54" spans="1:17">
      <c r="A54" s="47"/>
      <c r="B54" s="46"/>
      <c r="E54" s="49"/>
      <c r="F54" s="48"/>
      <c r="G54" s="124"/>
      <c r="H54" s="56"/>
      <c r="I54" s="56"/>
      <c r="J54" s="56"/>
      <c r="K54" s="56"/>
      <c r="L54" s="56"/>
      <c r="M54" s="56"/>
      <c r="N54" s="56"/>
      <c r="O54" s="28"/>
      <c r="P54" s="56"/>
      <c r="Q54" s="56"/>
    </row>
    <row r="55" spans="1:17">
      <c r="A55" s="47"/>
      <c r="B55" s="46"/>
      <c r="E55" s="49"/>
      <c r="F55" s="48"/>
      <c r="G55" s="124"/>
      <c r="H55" s="56"/>
      <c r="I55" s="56"/>
      <c r="J55" s="56"/>
      <c r="K55" s="56"/>
      <c r="L55" s="56"/>
      <c r="M55" s="56"/>
      <c r="N55" s="56"/>
      <c r="O55" s="28"/>
      <c r="P55" s="56"/>
      <c r="Q55" s="56"/>
    </row>
    <row r="56" spans="1:17">
      <c r="A56" s="47"/>
      <c r="B56" s="46"/>
      <c r="E56" s="47"/>
      <c r="F56" s="48"/>
      <c r="G56" s="55"/>
      <c r="H56" s="55"/>
      <c r="I56" s="55"/>
      <c r="J56" s="49"/>
      <c r="K56" s="49"/>
      <c r="L56" s="28"/>
      <c r="M56" s="28"/>
      <c r="N56" s="28"/>
      <c r="O56" s="28"/>
      <c r="P56" s="28"/>
    </row>
    <row r="58" spans="1:17" ht="15">
      <c r="A58" s="47"/>
      <c r="B58" s="125"/>
      <c r="C58" s="34"/>
      <c r="D58" s="35"/>
      <c r="E58" s="35"/>
      <c r="F58" s="35"/>
      <c r="G58" s="57"/>
      <c r="H58" s="57"/>
      <c r="I58" s="57"/>
      <c r="J58" s="57"/>
      <c r="K58" s="57"/>
      <c r="L58" s="57"/>
      <c r="M58" s="57"/>
      <c r="N58" s="57"/>
      <c r="O58" s="57"/>
      <c r="P58" s="57"/>
      <c r="Q58" s="58"/>
    </row>
    <row r="59" spans="1:17" ht="15">
      <c r="A59" s="47"/>
      <c r="B59" s="37"/>
      <c r="C59" s="34"/>
      <c r="D59" s="35"/>
      <c r="E59" s="35"/>
      <c r="F59" s="35"/>
      <c r="G59" s="31"/>
      <c r="H59" s="50"/>
      <c r="I59" s="50"/>
      <c r="J59" s="50"/>
      <c r="K59" s="50"/>
      <c r="L59" s="49"/>
      <c r="M59" s="49"/>
      <c r="N59" s="49"/>
      <c r="O59" s="49"/>
      <c r="P59" s="50"/>
      <c r="Q59" s="59"/>
    </row>
    <row r="60" spans="1:17" ht="15">
      <c r="B60" s="37"/>
      <c r="C60" s="37"/>
      <c r="D60" s="37"/>
      <c r="E60" s="49"/>
      <c r="F60" s="48"/>
      <c r="G60" s="126"/>
      <c r="H60" s="76"/>
      <c r="I60" s="76"/>
      <c r="J60" s="56"/>
      <c r="K60" s="56"/>
      <c r="L60" s="40"/>
      <c r="M60" s="40"/>
      <c r="N60" s="40"/>
      <c r="O60" s="40"/>
      <c r="P60" s="40"/>
      <c r="Q60" s="56"/>
    </row>
    <row r="61" spans="1:17" ht="15">
      <c r="B61" s="37"/>
      <c r="C61" s="37"/>
      <c r="D61" s="37"/>
      <c r="E61" s="49"/>
      <c r="F61" s="48"/>
      <c r="G61" s="126"/>
      <c r="H61" s="76"/>
      <c r="I61" s="76"/>
      <c r="J61" s="56"/>
      <c r="K61" s="56"/>
      <c r="L61" s="40"/>
      <c r="M61" s="40"/>
      <c r="N61" s="40"/>
      <c r="O61" s="40"/>
      <c r="P61" s="40"/>
      <c r="Q61" s="56"/>
    </row>
  </sheetData>
  <pageMargins left="0.25" right="0.25"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B2F0C-42B2-4F6B-AB4F-BAE56AAAD5F9}">
  <sheetPr codeName="Sheet13"/>
  <dimension ref="A1:X32"/>
  <sheetViews>
    <sheetView workbookViewId="0">
      <selection activeCell="H30" sqref="H30"/>
    </sheetView>
  </sheetViews>
  <sheetFormatPr defaultColWidth="8.88671875" defaultRowHeight="15"/>
  <cols>
    <col min="1" max="4" width="8.88671875" style="177"/>
    <col min="5" max="5" width="15.77734375" style="177" bestFit="1" customWidth="1"/>
    <col min="6" max="6" width="8.109375" style="177" customWidth="1"/>
    <col min="7" max="7" width="8.88671875" style="177"/>
    <col min="8" max="8" width="15.109375" style="177" bestFit="1" customWidth="1"/>
    <col min="9" max="13" width="8.88671875" style="177"/>
    <col min="14" max="14" width="20.109375" style="177" bestFit="1" customWidth="1"/>
    <col min="15" max="24" width="8.88671875" style="177"/>
    <col min="25" max="25" width="17.109375" style="177" bestFit="1" customWidth="1"/>
    <col min="26" max="16384" width="8.88671875" style="177"/>
  </cols>
  <sheetData>
    <row r="1" spans="1:24">
      <c r="A1" s="310" t="s">
        <v>389</v>
      </c>
    </row>
    <row r="2" spans="1:24" ht="30">
      <c r="A2" s="160" t="s">
        <v>56</v>
      </c>
      <c r="B2" s="158" t="s">
        <v>57</v>
      </c>
      <c r="C2" s="83" t="s">
        <v>58</v>
      </c>
      <c r="D2" s="83" t="s">
        <v>60</v>
      </c>
      <c r="E2" s="78" t="s">
        <v>341</v>
      </c>
      <c r="F2" s="160" t="s">
        <v>342</v>
      </c>
    </row>
    <row r="3" spans="1:24">
      <c r="A3" s="165" t="s">
        <v>1</v>
      </c>
      <c r="B3" s="166">
        <v>2</v>
      </c>
      <c r="C3" s="165" t="s">
        <v>353</v>
      </c>
      <c r="D3" s="166" t="s">
        <v>354</v>
      </c>
      <c r="E3" s="243" t="s">
        <v>348</v>
      </c>
      <c r="F3" s="165" t="s">
        <v>2</v>
      </c>
    </row>
    <row r="4" spans="1:24">
      <c r="A4" s="158"/>
      <c r="B4" s="158"/>
      <c r="C4" s="158"/>
      <c r="D4" s="158"/>
      <c r="E4" s="64"/>
      <c r="F4" s="79"/>
      <c r="G4" s="79"/>
      <c r="H4" s="158"/>
    </row>
    <row r="5" spans="1:24" ht="45">
      <c r="A5" s="92" t="s">
        <v>347</v>
      </c>
      <c r="B5" s="92" t="s">
        <v>104</v>
      </c>
      <c r="C5" s="246" t="s">
        <v>351</v>
      </c>
      <c r="D5" s="246" t="s">
        <v>42</v>
      </c>
      <c r="E5" s="246" t="s">
        <v>43</v>
      </c>
      <c r="F5" s="246" t="s">
        <v>85</v>
      </c>
      <c r="G5" s="246" t="s">
        <v>86</v>
      </c>
      <c r="H5" s="247" t="s">
        <v>365</v>
      </c>
      <c r="I5" s="247" t="s">
        <v>30</v>
      </c>
      <c r="J5" s="247" t="s">
        <v>31</v>
      </c>
      <c r="K5" s="246" t="s">
        <v>33</v>
      </c>
      <c r="L5" s="246" t="s">
        <v>73</v>
      </c>
      <c r="M5" s="149"/>
      <c r="N5" s="192" t="s">
        <v>343</v>
      </c>
      <c r="O5" s="232" t="s">
        <v>337</v>
      </c>
      <c r="P5" s="179" t="s">
        <v>362</v>
      </c>
      <c r="Q5" s="179" t="s">
        <v>363</v>
      </c>
      <c r="R5" s="179" t="s">
        <v>361</v>
      </c>
      <c r="S5" s="179" t="s">
        <v>338</v>
      </c>
      <c r="T5" s="179" t="s">
        <v>339</v>
      </c>
      <c r="U5" s="179" t="s">
        <v>340</v>
      </c>
      <c r="V5" s="179" t="s">
        <v>364</v>
      </c>
      <c r="W5" s="155"/>
      <c r="X5" s="155"/>
    </row>
    <row r="6" spans="1:24">
      <c r="A6" s="232" t="s">
        <v>337</v>
      </c>
      <c r="B6" s="232" t="s">
        <v>179</v>
      </c>
      <c r="C6" s="315">
        <f>O6</f>
        <v>29.12</v>
      </c>
      <c r="D6" s="236">
        <f>C6+F6+G6</f>
        <v>27.41</v>
      </c>
      <c r="E6" s="236">
        <f>C6+F6</f>
        <v>28.87</v>
      </c>
      <c r="F6" s="236">
        <f>HLOOKUP(A6,$O$5:$X$14,3,0)</f>
        <v>-0.25</v>
      </c>
      <c r="G6" s="236">
        <f>HLOOKUP(A6,$O$5:$X$14,4,0)</f>
        <v>-1.46</v>
      </c>
      <c r="H6" s="236">
        <f>O9</f>
        <v>13.64</v>
      </c>
      <c r="I6" s="236">
        <f>_xlfn.XLOOKUP(A6,$O$5:$V$5,$O$10:$V$10,0)+_xlfn.XLOOKUP(A6,$O$5:$V$5,$O$12:$V$12,0)</f>
        <v>5.12</v>
      </c>
      <c r="J6" s="236">
        <f>HLOOKUP(A6,$O$5:$X$14,7,0)</f>
        <v>0.84</v>
      </c>
      <c r="K6" s="236">
        <f>H6+I6+J6</f>
        <v>19.600000000000001</v>
      </c>
      <c r="L6" s="236">
        <f>C6+K6</f>
        <v>48.72</v>
      </c>
      <c r="M6" s="149"/>
      <c r="N6" s="192" t="s">
        <v>278</v>
      </c>
      <c r="O6" s="223">
        <f>ROUND('Temp Building Trades 2025'!$L$37*'Apprentice Carpenter 2025'!O16,2)</f>
        <v>29.12</v>
      </c>
      <c r="P6" s="223">
        <f>ROUND('Temp Building Trades 2025'!$L$37*'Apprentice Carpenter 2025'!P16,2)</f>
        <v>31.55</v>
      </c>
      <c r="Q6" s="223">
        <f>ROUND('Temp Building Trades 2025'!$L$37*'Apprentice Carpenter 2025'!Q16,2)</f>
        <v>33.979999999999997</v>
      </c>
      <c r="R6" s="223">
        <f>ROUND('Temp Building Trades 2025'!$L$37*'Apprentice Carpenter 2025'!R16,2)</f>
        <v>36.409999999999997</v>
      </c>
      <c r="S6" s="223">
        <f>ROUND('Temp Building Trades 2025'!$L$37*'Apprentice Carpenter 2025'!S16,2)</f>
        <v>38.83</v>
      </c>
      <c r="T6" s="223">
        <f>ROUND('Temp Building Trades 2025'!$L$37*'Apprentice Carpenter 2025'!T16,2)</f>
        <v>41.26</v>
      </c>
      <c r="U6" s="223">
        <f>ROUND('Temp Building Trades 2025'!$L$37*'Apprentice Carpenter 2025'!U16,2)</f>
        <v>43.69</v>
      </c>
      <c r="V6" s="223">
        <f>ROUND('Temp Building Trades 2025'!$L$37*'Apprentice Carpenter 2025'!V16,2)</f>
        <v>46.11</v>
      </c>
      <c r="W6" s="227"/>
      <c r="X6" s="227"/>
    </row>
    <row r="7" spans="1:24">
      <c r="A7" s="179" t="s">
        <v>362</v>
      </c>
      <c r="B7" s="232" t="s">
        <v>180</v>
      </c>
      <c r="C7" s="315">
        <f t="shared" ref="C7:C13" si="0">HLOOKUP(A7,$O$5:$X$14,2,0)</f>
        <v>31.55</v>
      </c>
      <c r="D7" s="236">
        <f>C7+F7+G7</f>
        <v>29.84</v>
      </c>
      <c r="E7" s="236">
        <f>C7+F7</f>
        <v>31.3</v>
      </c>
      <c r="F7" s="236">
        <f t="shared" ref="F7:F13" si="1">HLOOKUP(A7,$O$5:$X$14,3,0)</f>
        <v>-0.25</v>
      </c>
      <c r="G7" s="236">
        <f t="shared" ref="G7:G13" si="2">HLOOKUP(A7,$O$5:$X$14,4,0)</f>
        <v>-1.46</v>
      </c>
      <c r="H7" s="236">
        <f t="shared" ref="H7:H13" si="3">HLOOKUP(A7,$O$5:$X$14,5,0)</f>
        <v>13.64</v>
      </c>
      <c r="I7" s="236">
        <f t="shared" ref="I7:I13" si="4">_xlfn.XLOOKUP(A7,$O$5:$V$5,$O$10:$V$10,0)+_xlfn.XLOOKUP(A7,$O$5:$V$5,$O$12:$V$12,0)</f>
        <v>5.25</v>
      </c>
      <c r="J7" s="236">
        <f t="shared" ref="J7:J13" si="5">HLOOKUP(A7,$O$5:$X$14,7,0)</f>
        <v>0.84</v>
      </c>
      <c r="K7" s="236">
        <f>H7+I7+J7</f>
        <v>19.73</v>
      </c>
      <c r="L7" s="236">
        <f>C7+K7</f>
        <v>51.28</v>
      </c>
      <c r="M7" s="149"/>
      <c r="N7" s="192" t="s">
        <v>267</v>
      </c>
      <c r="O7" s="306">
        <v>-0.25</v>
      </c>
      <c r="P7" s="279">
        <v>-0.25</v>
      </c>
      <c r="Q7" s="279">
        <v>-0.25</v>
      </c>
      <c r="R7" s="279">
        <v>-0.25</v>
      </c>
      <c r="S7" s="279">
        <v>-0.25</v>
      </c>
      <c r="T7" s="279">
        <v>-0.25</v>
      </c>
      <c r="U7" s="279">
        <v>-0.25</v>
      </c>
      <c r="V7" s="279">
        <v>-0.25</v>
      </c>
      <c r="W7" s="227"/>
      <c r="X7" s="227"/>
    </row>
    <row r="8" spans="1:24">
      <c r="A8" s="179" t="s">
        <v>363</v>
      </c>
      <c r="B8" s="232" t="s">
        <v>181</v>
      </c>
      <c r="C8" s="315">
        <f t="shared" si="0"/>
        <v>33.979999999999997</v>
      </c>
      <c r="D8" s="236">
        <f t="shared" ref="D8:D13" si="6">C8+F8+G8</f>
        <v>32.269999999999996</v>
      </c>
      <c r="E8" s="236">
        <f t="shared" ref="E8:E13" si="7">C8+F8</f>
        <v>33.729999999999997</v>
      </c>
      <c r="F8" s="236">
        <f t="shared" si="1"/>
        <v>-0.25</v>
      </c>
      <c r="G8" s="236">
        <f t="shared" si="2"/>
        <v>-1.46</v>
      </c>
      <c r="H8" s="236">
        <f t="shared" si="3"/>
        <v>14.68</v>
      </c>
      <c r="I8" s="236">
        <f t="shared" si="4"/>
        <v>5.36</v>
      </c>
      <c r="J8" s="236">
        <f t="shared" si="5"/>
        <v>0.84</v>
      </c>
      <c r="K8" s="236">
        <f t="shared" ref="K8:K13" si="8">H8+I8+J8</f>
        <v>20.88</v>
      </c>
      <c r="L8" s="236">
        <f t="shared" ref="L8:L13" si="9">C8+K8</f>
        <v>54.86</v>
      </c>
      <c r="M8" s="149"/>
      <c r="N8" s="192" t="s">
        <v>28</v>
      </c>
      <c r="O8" s="306">
        <v>-1.46</v>
      </c>
      <c r="P8" s="223">
        <f>O8</f>
        <v>-1.46</v>
      </c>
      <c r="Q8" s="223">
        <f t="shared" ref="Q8:V8" si="10">P8</f>
        <v>-1.46</v>
      </c>
      <c r="R8" s="223">
        <f t="shared" si="10"/>
        <v>-1.46</v>
      </c>
      <c r="S8" s="223">
        <f t="shared" si="10"/>
        <v>-1.46</v>
      </c>
      <c r="T8" s="223">
        <f t="shared" si="10"/>
        <v>-1.46</v>
      </c>
      <c r="U8" s="223">
        <f t="shared" si="10"/>
        <v>-1.46</v>
      </c>
      <c r="V8" s="223">
        <f t="shared" si="10"/>
        <v>-1.46</v>
      </c>
      <c r="W8" s="227"/>
      <c r="X8" s="227"/>
    </row>
    <row r="9" spans="1:24">
      <c r="A9" s="179" t="s">
        <v>361</v>
      </c>
      <c r="B9" s="232" t="s">
        <v>182</v>
      </c>
      <c r="C9" s="315">
        <f t="shared" si="0"/>
        <v>36.409999999999997</v>
      </c>
      <c r="D9" s="236">
        <f t="shared" si="6"/>
        <v>34.699999999999996</v>
      </c>
      <c r="E9" s="236">
        <f t="shared" si="7"/>
        <v>36.159999999999997</v>
      </c>
      <c r="F9" s="236">
        <f t="shared" si="1"/>
        <v>-0.25</v>
      </c>
      <c r="G9" s="236">
        <f t="shared" si="2"/>
        <v>-1.46</v>
      </c>
      <c r="H9" s="236">
        <f t="shared" si="3"/>
        <v>14.68</v>
      </c>
      <c r="I9" s="236">
        <f t="shared" si="4"/>
        <v>5.48</v>
      </c>
      <c r="J9" s="236">
        <f t="shared" si="5"/>
        <v>0.84</v>
      </c>
      <c r="K9" s="236">
        <f t="shared" si="8"/>
        <v>21</v>
      </c>
      <c r="L9" s="236">
        <f t="shared" si="9"/>
        <v>57.41</v>
      </c>
      <c r="M9" s="149"/>
      <c r="N9" s="192" t="s">
        <v>365</v>
      </c>
      <c r="O9" s="306">
        <f>12.38+1.26</f>
        <v>13.64</v>
      </c>
      <c r="P9" s="223">
        <f>O9</f>
        <v>13.64</v>
      </c>
      <c r="Q9" s="223">
        <v>14.68</v>
      </c>
      <c r="R9" s="223">
        <f>Q9</f>
        <v>14.68</v>
      </c>
      <c r="S9" s="223">
        <f t="shared" ref="S9:V9" si="11">R9</f>
        <v>14.68</v>
      </c>
      <c r="T9" s="223">
        <f t="shared" si="11"/>
        <v>14.68</v>
      </c>
      <c r="U9" s="223">
        <f t="shared" si="11"/>
        <v>14.68</v>
      </c>
      <c r="V9" s="223">
        <f t="shared" si="11"/>
        <v>14.68</v>
      </c>
      <c r="W9" s="227"/>
      <c r="X9" s="227"/>
    </row>
    <row r="10" spans="1:24">
      <c r="A10" s="179" t="s">
        <v>338</v>
      </c>
      <c r="B10" s="232" t="s">
        <v>344</v>
      </c>
      <c r="C10" s="315">
        <f t="shared" si="0"/>
        <v>38.83</v>
      </c>
      <c r="D10" s="236">
        <f t="shared" si="6"/>
        <v>37.119999999999997</v>
      </c>
      <c r="E10" s="236">
        <f t="shared" si="7"/>
        <v>38.58</v>
      </c>
      <c r="F10" s="236">
        <f t="shared" si="1"/>
        <v>-0.25</v>
      </c>
      <c r="G10" s="236">
        <f t="shared" si="2"/>
        <v>-1.46</v>
      </c>
      <c r="H10" s="236">
        <f t="shared" si="3"/>
        <v>14.68</v>
      </c>
      <c r="I10" s="236">
        <f t="shared" si="4"/>
        <v>5.6000000000000005</v>
      </c>
      <c r="J10" s="236">
        <f t="shared" si="5"/>
        <v>0.84</v>
      </c>
      <c r="K10" s="236">
        <f t="shared" si="8"/>
        <v>21.12</v>
      </c>
      <c r="L10" s="236">
        <f t="shared" si="9"/>
        <v>59.95</v>
      </c>
      <c r="M10" s="245"/>
      <c r="N10" s="192" t="s">
        <v>276</v>
      </c>
      <c r="O10" s="306">
        <v>4.97</v>
      </c>
      <c r="P10" s="312">
        <v>5.0999999999999996</v>
      </c>
      <c r="Q10" s="312">
        <v>5.21</v>
      </c>
      <c r="R10" s="312">
        <v>5.33</v>
      </c>
      <c r="S10" s="312">
        <v>5.45</v>
      </c>
      <c r="T10" s="312">
        <v>5.57</v>
      </c>
      <c r="U10" s="312">
        <v>5.68</v>
      </c>
      <c r="V10" s="312">
        <v>5.81</v>
      </c>
      <c r="W10" s="227"/>
      <c r="X10" s="227"/>
    </row>
    <row r="11" spans="1:24">
      <c r="A11" s="179" t="s">
        <v>339</v>
      </c>
      <c r="B11" s="232" t="s">
        <v>345</v>
      </c>
      <c r="C11" s="315">
        <f t="shared" si="0"/>
        <v>41.26</v>
      </c>
      <c r="D11" s="236">
        <f t="shared" si="6"/>
        <v>39.549999999999997</v>
      </c>
      <c r="E11" s="236">
        <f t="shared" si="7"/>
        <v>41.01</v>
      </c>
      <c r="F11" s="236">
        <f t="shared" si="1"/>
        <v>-0.25</v>
      </c>
      <c r="G11" s="236">
        <f t="shared" si="2"/>
        <v>-1.46</v>
      </c>
      <c r="H11" s="236">
        <f t="shared" si="3"/>
        <v>14.68</v>
      </c>
      <c r="I11" s="236">
        <f t="shared" si="4"/>
        <v>5.7200000000000006</v>
      </c>
      <c r="J11" s="236">
        <f t="shared" si="5"/>
        <v>0.84</v>
      </c>
      <c r="K11" s="236">
        <f t="shared" si="8"/>
        <v>21.24</v>
      </c>
      <c r="L11" s="236">
        <f t="shared" si="9"/>
        <v>62.5</v>
      </c>
      <c r="M11" s="245"/>
      <c r="N11" s="192" t="s">
        <v>31</v>
      </c>
      <c r="O11" s="306">
        <v>0.84</v>
      </c>
      <c r="P11" s="223">
        <f>O11</f>
        <v>0.84</v>
      </c>
      <c r="Q11" s="223">
        <f t="shared" ref="Q11:V11" si="12">P11</f>
        <v>0.84</v>
      </c>
      <c r="R11" s="223">
        <f t="shared" si="12"/>
        <v>0.84</v>
      </c>
      <c r="S11" s="223">
        <f t="shared" si="12"/>
        <v>0.84</v>
      </c>
      <c r="T11" s="223">
        <f t="shared" si="12"/>
        <v>0.84</v>
      </c>
      <c r="U11" s="223">
        <f t="shared" si="12"/>
        <v>0.84</v>
      </c>
      <c r="V11" s="223">
        <f t="shared" si="12"/>
        <v>0.84</v>
      </c>
      <c r="W11" s="227"/>
      <c r="X11" s="227"/>
    </row>
    <row r="12" spans="1:24">
      <c r="A12" s="179" t="s">
        <v>340</v>
      </c>
      <c r="B12" s="232" t="s">
        <v>346</v>
      </c>
      <c r="C12" s="315">
        <f t="shared" si="0"/>
        <v>43.69</v>
      </c>
      <c r="D12" s="236">
        <f t="shared" si="6"/>
        <v>41.98</v>
      </c>
      <c r="E12" s="236">
        <f t="shared" si="7"/>
        <v>43.44</v>
      </c>
      <c r="F12" s="236">
        <f t="shared" si="1"/>
        <v>-0.25</v>
      </c>
      <c r="G12" s="236">
        <f t="shared" si="2"/>
        <v>-1.46</v>
      </c>
      <c r="H12" s="236">
        <f t="shared" si="3"/>
        <v>14.68</v>
      </c>
      <c r="I12" s="236">
        <f t="shared" si="4"/>
        <v>5.83</v>
      </c>
      <c r="J12" s="236">
        <f t="shared" si="5"/>
        <v>0.84</v>
      </c>
      <c r="K12" s="236">
        <f t="shared" si="8"/>
        <v>21.349999999999998</v>
      </c>
      <c r="L12" s="236">
        <f t="shared" si="9"/>
        <v>65.039999999999992</v>
      </c>
      <c r="M12" s="245"/>
      <c r="N12" s="192" t="s">
        <v>305</v>
      </c>
      <c r="O12" s="306">
        <v>0.15</v>
      </c>
      <c r="P12" s="223">
        <f>O12</f>
        <v>0.15</v>
      </c>
      <c r="Q12" s="223">
        <f t="shared" ref="Q12:V13" si="13">P12</f>
        <v>0.15</v>
      </c>
      <c r="R12" s="223">
        <f t="shared" si="13"/>
        <v>0.15</v>
      </c>
      <c r="S12" s="223">
        <f t="shared" si="13"/>
        <v>0.15</v>
      </c>
      <c r="T12" s="223">
        <f t="shared" si="13"/>
        <v>0.15</v>
      </c>
      <c r="U12" s="223">
        <f t="shared" si="13"/>
        <v>0.15</v>
      </c>
      <c r="V12" s="223">
        <f t="shared" si="13"/>
        <v>0.15</v>
      </c>
      <c r="W12" s="227"/>
      <c r="X12" s="227"/>
    </row>
    <row r="13" spans="1:24">
      <c r="A13" s="179" t="s">
        <v>364</v>
      </c>
      <c r="B13" s="232" t="s">
        <v>368</v>
      </c>
      <c r="C13" s="315">
        <f t="shared" si="0"/>
        <v>46.11</v>
      </c>
      <c r="D13" s="236">
        <f t="shared" si="6"/>
        <v>44.4</v>
      </c>
      <c r="E13" s="236">
        <f t="shared" si="7"/>
        <v>45.86</v>
      </c>
      <c r="F13" s="236">
        <f t="shared" si="1"/>
        <v>-0.25</v>
      </c>
      <c r="G13" s="236">
        <f t="shared" si="2"/>
        <v>-1.46</v>
      </c>
      <c r="H13" s="236">
        <f t="shared" si="3"/>
        <v>14.68</v>
      </c>
      <c r="I13" s="236">
        <f t="shared" si="4"/>
        <v>5.96</v>
      </c>
      <c r="J13" s="236">
        <f t="shared" si="5"/>
        <v>0.84</v>
      </c>
      <c r="K13" s="236">
        <f t="shared" si="8"/>
        <v>21.48</v>
      </c>
      <c r="L13" s="236">
        <f t="shared" si="9"/>
        <v>67.59</v>
      </c>
      <c r="M13" s="245"/>
      <c r="N13" s="192" t="s">
        <v>277</v>
      </c>
      <c r="O13" s="307">
        <v>0.02</v>
      </c>
      <c r="P13" s="271">
        <f>O13</f>
        <v>0.02</v>
      </c>
      <c r="Q13" s="271">
        <f t="shared" si="13"/>
        <v>0.02</v>
      </c>
      <c r="R13" s="271">
        <f t="shared" si="13"/>
        <v>0.02</v>
      </c>
      <c r="S13" s="271">
        <f t="shared" si="13"/>
        <v>0.02</v>
      </c>
      <c r="T13" s="271">
        <f t="shared" si="13"/>
        <v>0.02</v>
      </c>
      <c r="U13" s="271">
        <f t="shared" si="13"/>
        <v>0.02</v>
      </c>
      <c r="V13" s="271">
        <f t="shared" si="13"/>
        <v>0.02</v>
      </c>
      <c r="W13" s="177" t="s">
        <v>355</v>
      </c>
    </row>
    <row r="14" spans="1:24">
      <c r="A14" s="155"/>
      <c r="B14" s="155"/>
      <c r="C14" s="232"/>
      <c r="D14" s="232"/>
      <c r="E14" s="232"/>
      <c r="F14" s="232"/>
      <c r="G14" s="232"/>
      <c r="H14" s="232"/>
      <c r="I14" s="232"/>
      <c r="J14" s="232"/>
      <c r="K14" s="232"/>
      <c r="L14" s="232"/>
      <c r="M14" s="245"/>
      <c r="N14" s="177" t="s">
        <v>371</v>
      </c>
      <c r="O14" s="307">
        <v>0.86</v>
      </c>
      <c r="P14" s="271">
        <f>O14</f>
        <v>0.86</v>
      </c>
      <c r="Q14" s="271">
        <f t="shared" ref="Q14:V14" si="14">P14</f>
        <v>0.86</v>
      </c>
      <c r="R14" s="271">
        <f t="shared" si="14"/>
        <v>0.86</v>
      </c>
      <c r="S14" s="271">
        <f t="shared" si="14"/>
        <v>0.86</v>
      </c>
      <c r="T14" s="271">
        <f t="shared" si="14"/>
        <v>0.86</v>
      </c>
      <c r="U14" s="271">
        <f t="shared" si="14"/>
        <v>0.86</v>
      </c>
      <c r="V14" s="271">
        <f t="shared" si="14"/>
        <v>0.86</v>
      </c>
      <c r="W14" s="177" t="s">
        <v>355</v>
      </c>
      <c r="X14" s="258"/>
    </row>
    <row r="15" spans="1:24">
      <c r="A15" s="155"/>
      <c r="B15" s="155"/>
      <c r="C15" s="232"/>
      <c r="D15" s="232"/>
      <c r="E15" s="232"/>
      <c r="F15" s="232"/>
      <c r="G15" s="232"/>
      <c r="H15" s="232"/>
      <c r="I15" s="232"/>
      <c r="J15" s="232"/>
      <c r="K15" s="232"/>
      <c r="L15" s="232"/>
      <c r="N15" s="177" t="s">
        <v>222</v>
      </c>
      <c r="O15" s="312">
        <f t="shared" ref="O15:V15" si="15">O6+SUM(O9:O14)</f>
        <v>49.599999999999994</v>
      </c>
      <c r="P15" s="312">
        <f t="shared" si="15"/>
        <v>52.16</v>
      </c>
      <c r="Q15" s="312">
        <f t="shared" si="15"/>
        <v>55.739999999999995</v>
      </c>
      <c r="R15" s="312">
        <f t="shared" si="15"/>
        <v>58.289999999999992</v>
      </c>
      <c r="S15" s="312">
        <f t="shared" si="15"/>
        <v>60.83</v>
      </c>
      <c r="T15" s="312">
        <f t="shared" si="15"/>
        <v>63.379999999999995</v>
      </c>
      <c r="U15" s="312">
        <f t="shared" si="15"/>
        <v>65.919999999999987</v>
      </c>
      <c r="V15" s="312">
        <f t="shared" si="15"/>
        <v>68.47</v>
      </c>
      <c r="W15" s="244" t="s">
        <v>327</v>
      </c>
    </row>
    <row r="16" spans="1:24">
      <c r="C16" s="181"/>
      <c r="D16" s="181"/>
      <c r="E16" s="181"/>
      <c r="F16" s="181"/>
      <c r="G16" s="181"/>
      <c r="H16" s="181"/>
      <c r="I16" s="181"/>
      <c r="J16" s="181"/>
      <c r="K16" s="181"/>
      <c r="L16" s="181"/>
      <c r="N16" s="177" t="s">
        <v>366</v>
      </c>
      <c r="O16" s="311">
        <v>0.6</v>
      </c>
      <c r="P16" s="311">
        <v>0.65</v>
      </c>
      <c r="Q16" s="311">
        <v>0.7</v>
      </c>
      <c r="R16" s="311">
        <v>0.75</v>
      </c>
      <c r="S16" s="311">
        <v>0.8</v>
      </c>
      <c r="T16" s="311">
        <v>0.85</v>
      </c>
      <c r="U16" s="311">
        <v>0.9</v>
      </c>
      <c r="V16" s="311">
        <v>0.95</v>
      </c>
      <c r="W16" s="244"/>
    </row>
    <row r="17" spans="3:23">
      <c r="C17" s="181"/>
      <c r="D17" s="181"/>
      <c r="E17" s="181"/>
      <c r="F17" s="181"/>
      <c r="G17" s="181"/>
      <c r="H17" s="181"/>
      <c r="I17" s="181"/>
      <c r="J17" s="181"/>
      <c r="K17" s="181"/>
      <c r="L17" s="181"/>
      <c r="O17" s="191"/>
      <c r="P17" s="191"/>
      <c r="Q17" s="191"/>
      <c r="R17" s="191"/>
      <c r="S17" s="191"/>
      <c r="T17" s="191"/>
      <c r="U17" s="191"/>
      <c r="V17" s="191"/>
      <c r="W17" s="244"/>
    </row>
    <row r="18" spans="3:23">
      <c r="C18" s="181"/>
      <c r="D18" s="181"/>
      <c r="E18" s="181"/>
      <c r="F18" s="181"/>
      <c r="G18" s="181"/>
      <c r="H18" s="181"/>
      <c r="I18" s="181"/>
      <c r="J18" s="181"/>
      <c r="K18" s="181"/>
      <c r="L18" s="181"/>
      <c r="O18" s="313"/>
      <c r="P18" s="313"/>
      <c r="Q18" s="260"/>
      <c r="R18" s="260"/>
      <c r="S18" s="260"/>
      <c r="T18" s="260"/>
      <c r="U18" s="260"/>
      <c r="V18" s="260"/>
      <c r="W18" s="244"/>
    </row>
    <row r="19" spans="3:23">
      <c r="C19" s="181"/>
      <c r="D19" s="181"/>
      <c r="E19" s="181"/>
      <c r="F19" s="181"/>
      <c r="G19" s="181"/>
      <c r="H19" s="181"/>
      <c r="I19" s="181"/>
      <c r="J19" s="181"/>
      <c r="K19" s="181"/>
      <c r="L19" s="181"/>
      <c r="W19" s="244"/>
    </row>
    <row r="20" spans="3:23">
      <c r="C20" s="181"/>
      <c r="D20" s="181"/>
      <c r="E20" s="181"/>
      <c r="F20" s="181"/>
      <c r="G20" s="181"/>
      <c r="H20" s="181"/>
      <c r="I20" s="181"/>
      <c r="J20" s="181"/>
      <c r="K20" s="181"/>
      <c r="L20" s="181"/>
      <c r="O20" s="314"/>
      <c r="W20" s="244"/>
    </row>
    <row r="21" spans="3:23">
      <c r="C21" s="181"/>
      <c r="D21" s="181"/>
      <c r="E21" s="181"/>
      <c r="F21" s="181"/>
      <c r="G21" s="181"/>
      <c r="H21" s="181"/>
      <c r="I21" s="181"/>
      <c r="J21" s="181"/>
      <c r="K21" s="181"/>
      <c r="L21" s="181"/>
      <c r="O21" s="191"/>
      <c r="W21" s="244"/>
    </row>
    <row r="22" spans="3:23">
      <c r="C22" s="181"/>
      <c r="D22" s="181"/>
      <c r="E22" s="181"/>
      <c r="F22" s="181"/>
      <c r="G22" s="181"/>
      <c r="H22" s="181"/>
      <c r="I22" s="181"/>
      <c r="J22" s="181"/>
      <c r="K22" s="181"/>
      <c r="L22" s="181"/>
      <c r="O22" s="191"/>
    </row>
    <row r="23" spans="3:23">
      <c r="C23" s="181"/>
      <c r="D23" s="181"/>
      <c r="E23" s="181"/>
      <c r="F23" s="181"/>
      <c r="G23" s="181"/>
      <c r="H23" s="181"/>
      <c r="I23" s="181"/>
      <c r="J23" s="181"/>
      <c r="K23" s="181"/>
      <c r="L23" s="181"/>
      <c r="O23" s="191"/>
    </row>
    <row r="24" spans="3:23">
      <c r="O24" s="191"/>
    </row>
    <row r="25" spans="3:23">
      <c r="O25" s="191"/>
    </row>
    <row r="26" spans="3:23">
      <c r="O26" s="191"/>
    </row>
    <row r="27" spans="3:23">
      <c r="O27" s="191"/>
    </row>
    <row r="28" spans="3:23">
      <c r="O28" s="191"/>
    </row>
    <row r="29" spans="3:23">
      <c r="O29" s="191"/>
    </row>
    <row r="30" spans="3:23">
      <c r="O30" s="261"/>
      <c r="P30" s="314"/>
    </row>
    <row r="31" spans="3:23">
      <c r="O31" s="314"/>
      <c r="P31" s="314"/>
    </row>
    <row r="32" spans="3:23">
      <c r="O32" s="314"/>
      <c r="P32" s="314"/>
    </row>
  </sheetData>
  <phoneticPr fontId="1" type="noConversion"/>
  <pageMargins left="0.7" right="0.7" top="0.75" bottom="0.75" header="0.3" footer="0.3"/>
  <pageSetup orientation="portrait" horizontalDpi="4294967293"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25"/>
  <sheetViews>
    <sheetView zoomScaleNormal="100" workbookViewId="0">
      <selection activeCell="A15" sqref="A15"/>
    </sheetView>
  </sheetViews>
  <sheetFormatPr defaultColWidth="8.88671875" defaultRowHeight="10.5"/>
  <cols>
    <col min="1" max="1" width="10.33203125" style="6" customWidth="1"/>
    <col min="2" max="2" width="11.77734375" style="6" customWidth="1"/>
    <col min="3" max="3" width="10.33203125" style="6" bestFit="1" customWidth="1"/>
    <col min="4" max="4" width="11.21875" style="6" customWidth="1"/>
    <col min="5" max="6" width="11.5546875" style="6" bestFit="1" customWidth="1"/>
    <col min="7" max="8" width="10.109375" style="6" customWidth="1"/>
    <col min="9" max="9" width="10" style="6" customWidth="1"/>
    <col min="10" max="10" width="9.77734375" style="6" customWidth="1"/>
    <col min="11" max="11" width="10.5546875" style="6" customWidth="1"/>
    <col min="12" max="16384" width="8.88671875" style="6"/>
  </cols>
  <sheetData>
    <row r="1" spans="1:16" ht="12" customHeight="1">
      <c r="A1" s="1" t="s">
        <v>74</v>
      </c>
      <c r="B1" s="2"/>
      <c r="C1" s="3"/>
      <c r="D1" s="2"/>
      <c r="E1" s="4"/>
      <c r="F1" s="4"/>
      <c r="G1" s="3"/>
      <c r="H1" s="3"/>
      <c r="I1" s="3"/>
      <c r="J1" s="3"/>
      <c r="K1" s="5"/>
      <c r="L1" s="5"/>
      <c r="M1" s="5"/>
      <c r="N1" s="4"/>
      <c r="O1" s="4"/>
      <c r="P1" s="4"/>
    </row>
    <row r="2" spans="1:16" ht="12" customHeight="1">
      <c r="A2" s="1" t="s">
        <v>16</v>
      </c>
      <c r="B2" s="3"/>
      <c r="C2" s="3"/>
      <c r="D2" s="2"/>
      <c r="E2" s="4"/>
      <c r="F2" s="4"/>
      <c r="G2" s="3"/>
      <c r="H2" s="3"/>
      <c r="I2" s="3"/>
      <c r="J2" s="3"/>
      <c r="K2" s="5"/>
      <c r="L2" s="5"/>
      <c r="M2" s="5"/>
      <c r="N2" s="4"/>
      <c r="O2" s="4"/>
      <c r="P2" s="4"/>
    </row>
    <row r="3" spans="1:16" ht="12" customHeight="1">
      <c r="A3" s="1" t="s">
        <v>17</v>
      </c>
      <c r="B3" s="3"/>
      <c r="C3" s="3"/>
      <c r="D3" s="2"/>
      <c r="E3" s="4"/>
      <c r="F3" s="4"/>
      <c r="G3" s="3"/>
      <c r="H3" s="3"/>
      <c r="I3" s="3"/>
      <c r="J3" s="3"/>
      <c r="K3" s="5"/>
      <c r="L3" s="5"/>
      <c r="M3" s="5"/>
      <c r="N3" s="4"/>
      <c r="O3" s="4"/>
      <c r="P3" s="4"/>
    </row>
    <row r="4" spans="1:16" ht="8.25" customHeight="1">
      <c r="A4" s="1"/>
      <c r="B4" s="3"/>
      <c r="C4" s="3"/>
      <c r="D4" s="2"/>
      <c r="E4" s="4"/>
      <c r="F4" s="4"/>
      <c r="G4" s="3"/>
      <c r="H4" s="3"/>
      <c r="I4" s="3"/>
      <c r="J4" s="3"/>
      <c r="K4" s="5"/>
      <c r="L4" s="5"/>
      <c r="M4" s="5"/>
      <c r="N4" s="4"/>
      <c r="O4" s="4"/>
      <c r="P4" s="4"/>
    </row>
    <row r="5" spans="1:16" ht="12" customHeight="1">
      <c r="C5" s="3" t="s">
        <v>20</v>
      </c>
      <c r="D5" s="3" t="s">
        <v>21</v>
      </c>
      <c r="E5" s="3" t="s">
        <v>22</v>
      </c>
      <c r="F5" s="3" t="s">
        <v>23</v>
      </c>
      <c r="G5" s="3" t="s">
        <v>24</v>
      </c>
    </row>
    <row r="6" spans="1:16" ht="12" customHeight="1">
      <c r="B6" s="13" t="s">
        <v>72</v>
      </c>
      <c r="C6" s="14">
        <v>14.59</v>
      </c>
      <c r="D6" s="14">
        <v>17.829999999999998</v>
      </c>
      <c r="E6" s="14">
        <v>21.07</v>
      </c>
      <c r="F6" s="14">
        <v>24.32</v>
      </c>
      <c r="G6" s="14">
        <v>27.56</v>
      </c>
    </row>
    <row r="7" spans="1:16" ht="12" customHeight="1">
      <c r="A7" s="343" t="s">
        <v>18</v>
      </c>
      <c r="B7" s="7" t="s">
        <v>70</v>
      </c>
      <c r="C7" s="8">
        <f>C6+C8+C9</f>
        <v>19.12</v>
      </c>
      <c r="D7" s="8">
        <f>D6+D8+D9</f>
        <v>22.38</v>
      </c>
      <c r="E7" s="8">
        <f>E6+E8+E9</f>
        <v>27.43</v>
      </c>
      <c r="F7" s="8">
        <f>F6+F8+F9</f>
        <v>31.700000000000003</v>
      </c>
      <c r="G7" s="8">
        <f>G6+G8+G9</f>
        <v>34.96</v>
      </c>
    </row>
    <row r="8" spans="1:16" ht="12" customHeight="1">
      <c r="A8" s="343"/>
      <c r="B8" s="7" t="s">
        <v>27</v>
      </c>
      <c r="C8" s="8">
        <v>3.5</v>
      </c>
      <c r="D8" s="8">
        <v>3.52</v>
      </c>
      <c r="E8" s="8">
        <v>5.33</v>
      </c>
      <c r="F8" s="8">
        <v>6.35</v>
      </c>
      <c r="G8" s="8">
        <v>6.37</v>
      </c>
    </row>
    <row r="9" spans="1:16" ht="12" customHeight="1">
      <c r="A9" s="343"/>
      <c r="B9" s="7" t="s">
        <v>28</v>
      </c>
      <c r="C9" s="8">
        <v>1.03</v>
      </c>
      <c r="D9" s="8">
        <v>1.03</v>
      </c>
      <c r="E9" s="8">
        <v>1.03</v>
      </c>
      <c r="F9" s="8">
        <v>1.03</v>
      </c>
      <c r="G9" s="8">
        <v>1.03</v>
      </c>
    </row>
    <row r="10" spans="1:16" ht="0.75" customHeight="1">
      <c r="A10" s="12"/>
      <c r="B10" s="7" t="s">
        <v>71</v>
      </c>
      <c r="C10" s="8">
        <f>C7-C8-C9</f>
        <v>14.590000000000002</v>
      </c>
      <c r="D10" s="8">
        <f>D7-D8-D9</f>
        <v>17.829999999999998</v>
      </c>
      <c r="E10" s="8">
        <f>E7-E8-E9</f>
        <v>21.07</v>
      </c>
      <c r="F10" s="8">
        <f>F7-F8-F9</f>
        <v>24.32</v>
      </c>
      <c r="G10" s="8">
        <f>G7-G8-G9</f>
        <v>27.56</v>
      </c>
    </row>
    <row r="11" spans="1:16" ht="21" customHeight="1">
      <c r="B11" s="7" t="s">
        <v>19</v>
      </c>
      <c r="C11" s="8">
        <v>14.55</v>
      </c>
      <c r="D11" s="8">
        <v>16.850000000000001</v>
      </c>
      <c r="E11" s="8">
        <v>18.02</v>
      </c>
      <c r="F11" s="8">
        <v>18.02</v>
      </c>
      <c r="G11" s="8">
        <v>18.02</v>
      </c>
    </row>
    <row r="12" spans="1:16">
      <c r="A12" s="6" t="s">
        <v>40</v>
      </c>
    </row>
    <row r="13" spans="1:16">
      <c r="C13" s="9"/>
      <c r="D13" s="9"/>
      <c r="E13" s="9"/>
      <c r="F13" s="9"/>
      <c r="G13" s="9"/>
    </row>
    <row r="14" spans="1:16">
      <c r="C14" s="3"/>
      <c r="D14" s="3"/>
      <c r="E14" s="3"/>
    </row>
    <row r="15" spans="1:16" ht="12.75">
      <c r="A15" s="10" t="e">
        <f>'Temp Building Trades 2025'!#REF!</f>
        <v>#REF!</v>
      </c>
      <c r="C15" s="3"/>
      <c r="D15" s="3"/>
      <c r="E15" s="3"/>
    </row>
    <row r="16" spans="1:16" ht="12.75">
      <c r="A16" s="10"/>
    </row>
    <row r="17" spans="1:5">
      <c r="A17" s="6" t="s">
        <v>41</v>
      </c>
    </row>
    <row r="18" spans="1:5">
      <c r="C18" s="7"/>
      <c r="D18" s="7"/>
      <c r="E18" s="7"/>
    </row>
    <row r="20" spans="1:5" ht="15">
      <c r="B20" s="15" t="s">
        <v>76</v>
      </c>
    </row>
    <row r="21" spans="1:5" ht="15">
      <c r="A21" s="11"/>
      <c r="B21" s="15" t="s">
        <v>77</v>
      </c>
    </row>
    <row r="22" spans="1:5" ht="15">
      <c r="A22" s="11"/>
      <c r="B22" s="15" t="s">
        <v>78</v>
      </c>
    </row>
    <row r="23" spans="1:5" ht="15">
      <c r="B23" s="15" t="s">
        <v>79</v>
      </c>
    </row>
    <row r="24" spans="1:5" ht="15">
      <c r="B24" s="15" t="s">
        <v>80</v>
      </c>
    </row>
    <row r="25" spans="1:5" ht="15">
      <c r="B25" s="15"/>
    </row>
  </sheetData>
  <mergeCells count="1">
    <mergeCell ref="A7:A9"/>
  </mergeCells>
  <phoneticPr fontId="1" type="noConversion"/>
  <pageMargins left="0" right="0" top="0.25" bottom="0.5" header="0.5" footer="0.5"/>
  <pageSetup scale="73"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25"/>
  <sheetViews>
    <sheetView zoomScaleNormal="100" workbookViewId="0">
      <selection sqref="A1:IV65536"/>
    </sheetView>
  </sheetViews>
  <sheetFormatPr defaultColWidth="8.88671875" defaultRowHeight="10.5"/>
  <cols>
    <col min="1" max="1" width="10.33203125" style="6" customWidth="1"/>
    <col min="2" max="2" width="11.77734375" style="6" customWidth="1"/>
    <col min="3" max="3" width="10.33203125" style="6" bestFit="1" customWidth="1"/>
    <col min="4" max="4" width="11.21875" style="6" customWidth="1"/>
    <col min="5" max="6" width="11.5546875" style="6" bestFit="1" customWidth="1"/>
    <col min="7" max="8" width="10.109375" style="6" customWidth="1"/>
    <col min="9" max="9" width="10" style="6" customWidth="1"/>
    <col min="10" max="10" width="9.77734375" style="6" customWidth="1"/>
    <col min="11" max="11" width="10.5546875" style="6" customWidth="1"/>
    <col min="12" max="16384" width="8.88671875" style="6"/>
  </cols>
  <sheetData>
    <row r="1" spans="1:16" ht="12" customHeight="1">
      <c r="A1" s="1" t="s">
        <v>82</v>
      </c>
      <c r="B1" s="2"/>
      <c r="C1" s="3"/>
      <c r="D1" s="2"/>
      <c r="E1" s="4"/>
      <c r="F1" s="4"/>
      <c r="G1" s="3"/>
      <c r="H1" s="3"/>
      <c r="I1" s="3"/>
      <c r="J1" s="3"/>
      <c r="K1" s="5"/>
      <c r="L1" s="5"/>
      <c r="M1" s="5"/>
      <c r="N1" s="4"/>
      <c r="O1" s="4"/>
      <c r="P1" s="4"/>
    </row>
    <row r="2" spans="1:16" ht="12" customHeight="1">
      <c r="A2" s="1" t="s">
        <v>16</v>
      </c>
      <c r="B2" s="3"/>
      <c r="C2" s="3"/>
      <c r="D2" s="2"/>
      <c r="E2" s="4"/>
      <c r="F2" s="4"/>
      <c r="G2" s="3"/>
      <c r="H2" s="3"/>
      <c r="I2" s="3"/>
      <c r="J2" s="3"/>
      <c r="K2" s="5"/>
      <c r="L2" s="5"/>
      <c r="M2" s="5"/>
      <c r="N2" s="4"/>
      <c r="O2" s="4"/>
      <c r="P2" s="4"/>
    </row>
    <row r="3" spans="1:16" ht="12" customHeight="1">
      <c r="A3" s="1" t="s">
        <v>17</v>
      </c>
      <c r="B3" s="3"/>
      <c r="C3" s="3"/>
      <c r="D3" s="2"/>
      <c r="E3" s="4"/>
      <c r="F3" s="4"/>
      <c r="G3" s="3"/>
      <c r="H3" s="3"/>
      <c r="I3" s="3"/>
      <c r="J3" s="3"/>
      <c r="K3" s="5"/>
      <c r="L3" s="5"/>
      <c r="M3" s="5"/>
      <c r="N3" s="4"/>
      <c r="O3" s="4"/>
      <c r="P3" s="4"/>
    </row>
    <row r="4" spans="1:16" ht="8.25" customHeight="1">
      <c r="A4" s="1"/>
      <c r="B4" s="3"/>
      <c r="C4" s="3"/>
      <c r="D4" s="2"/>
      <c r="E4" s="4"/>
      <c r="F4" s="4"/>
      <c r="G4" s="3"/>
      <c r="H4" s="3"/>
      <c r="I4" s="3"/>
      <c r="J4" s="3"/>
      <c r="K4" s="5"/>
      <c r="L4" s="5"/>
      <c r="M4" s="5"/>
      <c r="N4" s="4"/>
      <c r="O4" s="4"/>
      <c r="P4" s="4"/>
    </row>
    <row r="5" spans="1:16" ht="12" customHeight="1">
      <c r="C5" s="3" t="s">
        <v>20</v>
      </c>
      <c r="D5" s="3" t="s">
        <v>21</v>
      </c>
      <c r="E5" s="3" t="s">
        <v>22</v>
      </c>
      <c r="F5" s="3" t="s">
        <v>23</v>
      </c>
      <c r="G5" s="3" t="s">
        <v>24</v>
      </c>
    </row>
    <row r="6" spans="1:16" ht="12" customHeight="1">
      <c r="B6" s="13" t="s">
        <v>72</v>
      </c>
      <c r="C6" s="16">
        <v>14.53</v>
      </c>
      <c r="D6" s="16">
        <v>17.760000000000002</v>
      </c>
      <c r="E6" s="16">
        <v>20.99</v>
      </c>
      <c r="F6" s="16">
        <v>24.22</v>
      </c>
      <c r="G6" s="16">
        <v>27.45</v>
      </c>
    </row>
    <row r="7" spans="1:16" ht="12" customHeight="1">
      <c r="A7" s="343" t="s">
        <v>18</v>
      </c>
      <c r="B7" s="7" t="s">
        <v>70</v>
      </c>
      <c r="C7" s="8">
        <f>C6+C8+C9</f>
        <v>19.060000000000002</v>
      </c>
      <c r="D7" s="8">
        <f>D6+D8+D9</f>
        <v>22.310000000000002</v>
      </c>
      <c r="E7" s="8">
        <f>E6+E8+E9</f>
        <v>27.35</v>
      </c>
      <c r="F7" s="8">
        <f>F6+F8+F9</f>
        <v>31.6</v>
      </c>
      <c r="G7" s="8">
        <f>G6+G8+G9</f>
        <v>34.85</v>
      </c>
    </row>
    <row r="8" spans="1:16" ht="12" customHeight="1">
      <c r="A8" s="343"/>
      <c r="B8" s="7" t="s">
        <v>27</v>
      </c>
      <c r="C8" s="8">
        <v>3.5</v>
      </c>
      <c r="D8" s="8">
        <v>3.52</v>
      </c>
      <c r="E8" s="8">
        <v>5.33</v>
      </c>
      <c r="F8" s="8">
        <v>6.35</v>
      </c>
      <c r="G8" s="8">
        <v>6.37</v>
      </c>
    </row>
    <row r="9" spans="1:16" ht="13.5" customHeight="1">
      <c r="A9" s="343"/>
      <c r="B9" s="7" t="s">
        <v>28</v>
      </c>
      <c r="C9" s="8">
        <v>1.03</v>
      </c>
      <c r="D9" s="8">
        <v>1.03</v>
      </c>
      <c r="E9" s="8">
        <v>1.03</v>
      </c>
      <c r="F9" s="8">
        <v>1.03</v>
      </c>
      <c r="G9" s="8">
        <v>1.03</v>
      </c>
    </row>
    <row r="10" spans="1:16" ht="21.75" customHeight="1">
      <c r="A10" s="12"/>
      <c r="B10" s="7" t="s">
        <v>71</v>
      </c>
      <c r="C10" s="8">
        <f>C7-C8-C9</f>
        <v>14.530000000000003</v>
      </c>
      <c r="D10" s="8">
        <f>D7-D8-D9</f>
        <v>17.760000000000002</v>
      </c>
      <c r="E10" s="8">
        <f>E7-E8-E9</f>
        <v>20.990000000000002</v>
      </c>
      <c r="F10" s="8">
        <f>F7-F8-F9</f>
        <v>24.22</v>
      </c>
      <c r="G10" s="8">
        <f>G7-G8-G9</f>
        <v>27.45</v>
      </c>
    </row>
    <row r="11" spans="1:16" ht="21" customHeight="1">
      <c r="B11" s="7" t="s">
        <v>19</v>
      </c>
      <c r="C11" s="8">
        <v>14.68</v>
      </c>
      <c r="D11" s="8">
        <v>16.98</v>
      </c>
      <c r="E11" s="8">
        <v>18.149999999999999</v>
      </c>
      <c r="F11" s="8">
        <v>18.149999999999999</v>
      </c>
      <c r="G11" s="8" t="s">
        <v>81</v>
      </c>
    </row>
    <row r="12" spans="1:16">
      <c r="A12" s="6" t="s">
        <v>40</v>
      </c>
    </row>
    <row r="13" spans="1:16">
      <c r="C13" s="9"/>
      <c r="D13" s="9"/>
      <c r="E13" s="9"/>
      <c r="F13" s="9"/>
      <c r="G13" s="9"/>
    </row>
    <row r="14" spans="1:16">
      <c r="C14" s="3"/>
      <c r="D14" s="3"/>
      <c r="E14" s="3"/>
    </row>
    <row r="15" spans="1:16" ht="12.75">
      <c r="A15" s="17" t="e">
        <f>'Temp Building Trades 2025'!#REF!</f>
        <v>#REF!</v>
      </c>
      <c r="B15" s="18"/>
      <c r="C15" s="3"/>
      <c r="D15" s="3"/>
      <c r="E15" s="3"/>
    </row>
    <row r="16" spans="1:16" ht="12.75">
      <c r="A16" s="10"/>
    </row>
    <row r="17" spans="1:5">
      <c r="A17" s="6" t="s">
        <v>41</v>
      </c>
    </row>
    <row r="18" spans="1:5">
      <c r="C18" s="7"/>
      <c r="D18" s="7"/>
      <c r="E18" s="7"/>
    </row>
    <row r="20" spans="1:5" ht="15">
      <c r="B20" s="15"/>
    </row>
    <row r="21" spans="1:5" ht="15">
      <c r="A21" s="11"/>
      <c r="B21" s="15"/>
    </row>
    <row r="22" spans="1:5" ht="15">
      <c r="A22" s="11"/>
      <c r="B22" s="15"/>
    </row>
    <row r="23" spans="1:5" ht="15">
      <c r="B23" s="15"/>
    </row>
    <row r="24" spans="1:5" ht="15">
      <c r="B24" s="15"/>
    </row>
    <row r="25" spans="1:5" ht="15">
      <c r="B25" s="15"/>
    </row>
  </sheetData>
  <mergeCells count="1">
    <mergeCell ref="A7:A9"/>
  </mergeCells>
  <pageMargins left="0" right="0" top="0.25" bottom="0.5" header="0.5" footer="0.5"/>
  <pageSetup scale="73"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P25"/>
  <sheetViews>
    <sheetView topLeftCell="A4" zoomScaleNormal="100" workbookViewId="0">
      <selection activeCell="F12" sqref="F12"/>
    </sheetView>
  </sheetViews>
  <sheetFormatPr defaultColWidth="8.88671875" defaultRowHeight="10.5"/>
  <cols>
    <col min="1" max="1" width="10.33203125" style="6" customWidth="1"/>
    <col min="2" max="2" width="11.77734375" style="6" customWidth="1"/>
    <col min="3" max="3" width="10.33203125" style="6" bestFit="1" customWidth="1"/>
    <col min="4" max="4" width="11.21875" style="6" customWidth="1"/>
    <col min="5" max="6" width="11.5546875" style="6" bestFit="1" customWidth="1"/>
    <col min="7" max="8" width="10.109375" style="6" customWidth="1"/>
    <col min="9" max="9" width="10" style="6" customWidth="1"/>
    <col min="10" max="10" width="9.77734375" style="6" customWidth="1"/>
    <col min="11" max="11" width="10.5546875" style="6" customWidth="1"/>
    <col min="12" max="16384" width="8.88671875" style="6"/>
  </cols>
  <sheetData>
    <row r="1" spans="1:16" ht="12" customHeight="1">
      <c r="A1" s="1" t="s">
        <v>84</v>
      </c>
      <c r="B1" s="2"/>
      <c r="C1" s="3"/>
      <c r="D1" s="2"/>
      <c r="E1" s="4"/>
      <c r="F1" s="4"/>
      <c r="G1" s="3"/>
      <c r="H1" s="3"/>
      <c r="I1" s="3"/>
      <c r="J1" s="3"/>
      <c r="K1" s="5"/>
      <c r="L1" s="5"/>
      <c r="M1" s="5"/>
      <c r="N1" s="4"/>
      <c r="O1" s="4"/>
      <c r="P1" s="4"/>
    </row>
    <row r="2" spans="1:16" ht="12" customHeight="1">
      <c r="A2" s="1" t="s">
        <v>16</v>
      </c>
      <c r="B2" s="3"/>
      <c r="C2" s="3"/>
      <c r="D2" s="2"/>
      <c r="E2" s="4"/>
      <c r="F2" s="4"/>
      <c r="G2" s="3"/>
      <c r="H2" s="3"/>
      <c r="I2" s="3"/>
      <c r="J2" s="3"/>
      <c r="K2" s="5"/>
      <c r="L2" s="5"/>
      <c r="M2" s="5"/>
      <c r="N2" s="4"/>
      <c r="O2" s="4"/>
      <c r="P2" s="4"/>
    </row>
    <row r="3" spans="1:16" ht="12" customHeight="1">
      <c r="A3" s="1" t="s">
        <v>17</v>
      </c>
      <c r="B3" s="3"/>
      <c r="C3" s="3"/>
      <c r="D3" s="2"/>
      <c r="E3" s="4"/>
      <c r="F3" s="4"/>
      <c r="G3" s="3"/>
      <c r="H3" s="3"/>
      <c r="I3" s="3"/>
      <c r="J3" s="3"/>
      <c r="K3" s="5"/>
      <c r="L3" s="5"/>
      <c r="M3" s="5"/>
      <c r="N3" s="4"/>
      <c r="O3" s="4"/>
      <c r="P3" s="4"/>
    </row>
    <row r="4" spans="1:16" ht="8.25" customHeight="1">
      <c r="A4" s="1"/>
      <c r="B4" s="3"/>
      <c r="C4" s="3"/>
      <c r="D4" s="2"/>
      <c r="E4" s="4"/>
      <c r="F4" s="4"/>
      <c r="G4" s="3"/>
      <c r="H4" s="3"/>
      <c r="I4" s="3"/>
      <c r="J4" s="3"/>
      <c r="K4" s="5"/>
      <c r="L4" s="5"/>
      <c r="M4" s="5"/>
      <c r="N4" s="4"/>
      <c r="O4" s="4"/>
      <c r="P4" s="4"/>
    </row>
    <row r="5" spans="1:16" ht="12" customHeight="1">
      <c r="C5" s="3" t="s">
        <v>20</v>
      </c>
      <c r="D5" s="3" t="s">
        <v>21</v>
      </c>
      <c r="E5" s="3" t="s">
        <v>22</v>
      </c>
      <c r="F5" s="3" t="s">
        <v>23</v>
      </c>
      <c r="G5" s="3" t="s">
        <v>24</v>
      </c>
    </row>
    <row r="6" spans="1:16" ht="12" customHeight="1">
      <c r="B6" s="13" t="s">
        <v>72</v>
      </c>
      <c r="C6" s="20">
        <v>14.31</v>
      </c>
      <c r="D6" s="20">
        <v>17.48</v>
      </c>
      <c r="E6" s="20">
        <v>20.66</v>
      </c>
      <c r="F6" s="20">
        <v>23.84</v>
      </c>
      <c r="G6" s="20">
        <v>27.02</v>
      </c>
    </row>
    <row r="7" spans="1:16" ht="12" customHeight="1">
      <c r="A7" s="343" t="s">
        <v>18</v>
      </c>
      <c r="B7" s="7" t="s">
        <v>70</v>
      </c>
      <c r="C7" s="19">
        <f>C6+C8+C9</f>
        <v>19.3</v>
      </c>
      <c r="D7" s="19">
        <f>D6+D8+D9</f>
        <v>22.59</v>
      </c>
      <c r="E7" s="19">
        <f>E6+E8+E9</f>
        <v>27.68</v>
      </c>
      <c r="F7" s="19">
        <f>F6+F8+F9</f>
        <v>31.979999999999997</v>
      </c>
      <c r="G7" s="19">
        <f>G6+G8+G9</f>
        <v>35.28</v>
      </c>
    </row>
    <row r="8" spans="1:16" ht="12" customHeight="1">
      <c r="A8" s="343"/>
      <c r="B8" s="7" t="s">
        <v>27</v>
      </c>
      <c r="C8" s="19">
        <v>3.05</v>
      </c>
      <c r="D8" s="19">
        <v>2.97</v>
      </c>
      <c r="E8" s="19">
        <v>4.68</v>
      </c>
      <c r="F8" s="19">
        <v>5.6</v>
      </c>
      <c r="G8" s="19">
        <v>5.52</v>
      </c>
    </row>
    <row r="9" spans="1:16" ht="13.5" customHeight="1">
      <c r="A9" s="343"/>
      <c r="B9" s="7" t="s">
        <v>28</v>
      </c>
      <c r="C9" s="19">
        <v>1.94</v>
      </c>
      <c r="D9" s="19">
        <v>2.14</v>
      </c>
      <c r="E9" s="19">
        <v>2.34</v>
      </c>
      <c r="F9" s="19">
        <v>2.54</v>
      </c>
      <c r="G9" s="19">
        <v>2.74</v>
      </c>
    </row>
    <row r="10" spans="1:16" ht="21.75" customHeight="1">
      <c r="A10" s="12"/>
      <c r="B10" s="7" t="s">
        <v>71</v>
      </c>
      <c r="C10" s="8">
        <f>C7-C8-C9</f>
        <v>14.31</v>
      </c>
      <c r="D10" s="8">
        <f>D7-D8-D9</f>
        <v>17.48</v>
      </c>
      <c r="E10" s="8">
        <f>E7-E8-E9</f>
        <v>20.66</v>
      </c>
      <c r="F10" s="8">
        <f>F7-F8-F9</f>
        <v>23.839999999999996</v>
      </c>
      <c r="G10" s="8">
        <f>G7-G8-G9</f>
        <v>27.020000000000003</v>
      </c>
    </row>
    <row r="11" spans="1:16" ht="21" customHeight="1">
      <c r="B11" s="7" t="s">
        <v>19</v>
      </c>
      <c r="C11" s="8">
        <v>14.67</v>
      </c>
      <c r="D11" s="8">
        <v>16.97</v>
      </c>
      <c r="E11" s="8">
        <v>18.14</v>
      </c>
      <c r="F11" s="8">
        <v>18.14</v>
      </c>
      <c r="G11" s="8" t="s">
        <v>83</v>
      </c>
    </row>
    <row r="12" spans="1:16">
      <c r="A12" s="6" t="s">
        <v>40</v>
      </c>
    </row>
    <row r="13" spans="1:16">
      <c r="C13" s="9"/>
      <c r="D13" s="9"/>
      <c r="E13" s="9"/>
      <c r="F13" s="9"/>
      <c r="G13" s="9"/>
    </row>
    <row r="14" spans="1:16">
      <c r="C14" s="3"/>
      <c r="D14" s="3"/>
      <c r="E14" s="3"/>
    </row>
    <row r="15" spans="1:16" ht="12.75">
      <c r="A15" s="17" t="e">
        <f>'Temp Building Trades 2025'!#REF!</f>
        <v>#REF!</v>
      </c>
      <c r="B15" s="18"/>
      <c r="C15" s="3"/>
      <c r="D15" s="3"/>
      <c r="E15" s="3"/>
    </row>
    <row r="16" spans="1:16" ht="12.75">
      <c r="A16" s="10"/>
    </row>
    <row r="17" spans="1:5">
      <c r="A17" s="6" t="s">
        <v>41</v>
      </c>
    </row>
    <row r="18" spans="1:5">
      <c r="C18" s="7"/>
      <c r="D18" s="7"/>
      <c r="E18" s="7"/>
    </row>
    <row r="20" spans="1:5" ht="15">
      <c r="B20" s="15"/>
    </row>
    <row r="21" spans="1:5" ht="15">
      <c r="A21" s="11"/>
      <c r="B21" s="15"/>
    </row>
    <row r="22" spans="1:5" ht="15">
      <c r="A22" s="11"/>
      <c r="B22" s="15"/>
    </row>
    <row r="23" spans="1:5" ht="15">
      <c r="B23" s="15"/>
    </row>
    <row r="24" spans="1:5" ht="15">
      <c r="B24" s="15"/>
    </row>
    <row r="25" spans="1:5" ht="15">
      <c r="B25" s="15"/>
    </row>
  </sheetData>
  <mergeCells count="1">
    <mergeCell ref="A7:A9"/>
  </mergeCells>
  <pageMargins left="0" right="0" top="0.25" bottom="0.5" header="0.5" footer="0.5"/>
  <pageSetup scale="73"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M19"/>
  <sheetViews>
    <sheetView zoomScaleNormal="100" workbookViewId="0">
      <selection activeCell="E38" sqref="E38"/>
    </sheetView>
  </sheetViews>
  <sheetFormatPr defaultColWidth="8.88671875" defaultRowHeight="11.25"/>
  <cols>
    <col min="1" max="1" width="10.33203125" style="61" customWidth="1"/>
    <col min="2" max="2" width="22" style="61" customWidth="1"/>
    <col min="3" max="3" width="10.33203125" style="61" bestFit="1" customWidth="1"/>
    <col min="4" max="4" width="11.21875" style="61" customWidth="1"/>
    <col min="5" max="6" width="11.5546875" style="61" bestFit="1" customWidth="1"/>
    <col min="7" max="8" width="10.109375" style="61" customWidth="1"/>
    <col min="9" max="9" width="10" style="61" customWidth="1"/>
    <col min="10" max="10" width="9.77734375" style="61" customWidth="1"/>
    <col min="11" max="11" width="10.5546875" style="61" customWidth="1"/>
    <col min="12" max="16384" width="8.88671875" style="61"/>
  </cols>
  <sheetData>
    <row r="1" spans="1:13" ht="42" customHeight="1">
      <c r="A1" s="143" t="s">
        <v>200</v>
      </c>
      <c r="B1" s="70"/>
      <c r="C1" s="120"/>
      <c r="D1" s="70"/>
      <c r="G1" s="65"/>
      <c r="H1" s="65"/>
      <c r="I1" s="65"/>
      <c r="J1" s="65"/>
      <c r="K1" s="71"/>
      <c r="L1" s="71"/>
      <c r="M1" s="71"/>
    </row>
    <row r="2" spans="1:13" ht="12" customHeight="1">
      <c r="A2" s="72"/>
      <c r="B2" s="65"/>
      <c r="C2" s="119"/>
      <c r="D2" s="70"/>
      <c r="G2" s="123">
        <v>0.16</v>
      </c>
      <c r="H2" s="65"/>
      <c r="I2" s="65"/>
      <c r="J2" s="65"/>
      <c r="K2" s="71"/>
      <c r="L2" s="71"/>
      <c r="M2" s="71"/>
    </row>
    <row r="3" spans="1:13" ht="11.45" customHeight="1">
      <c r="C3" s="68"/>
      <c r="D3" s="68"/>
      <c r="E3" s="68"/>
      <c r="F3" s="69"/>
      <c r="G3" s="69"/>
    </row>
    <row r="4" spans="1:13" ht="11.45" customHeight="1">
      <c r="A4" s="75" t="s">
        <v>201</v>
      </c>
    </row>
    <row r="5" spans="1:13" ht="19.149999999999999" customHeight="1">
      <c r="A5" s="67" t="s">
        <v>183</v>
      </c>
      <c r="B5" s="60"/>
      <c r="C5" s="73">
        <v>0.4</v>
      </c>
      <c r="D5" s="73">
        <v>0.5</v>
      </c>
      <c r="E5" s="73">
        <v>0.6</v>
      </c>
      <c r="F5" s="73">
        <v>0.7</v>
      </c>
      <c r="G5" s="73">
        <v>0.8</v>
      </c>
    </row>
    <row r="6" spans="1:13" ht="11.45" customHeight="1">
      <c r="A6" s="61" t="s">
        <v>186</v>
      </c>
      <c r="B6" s="63"/>
      <c r="C6" s="68" t="s">
        <v>20</v>
      </c>
      <c r="D6" s="68" t="s">
        <v>21</v>
      </c>
      <c r="E6" s="68" t="s">
        <v>22</v>
      </c>
      <c r="F6" s="68" t="s">
        <v>23</v>
      </c>
      <c r="G6" s="68" t="s">
        <v>24</v>
      </c>
    </row>
    <row r="7" spans="1:13" ht="11.45" customHeight="1">
      <c r="A7" s="66">
        <v>36.44</v>
      </c>
      <c r="B7" s="63" t="s">
        <v>72</v>
      </c>
      <c r="C7" s="74">
        <f>$A7*C5</f>
        <v>14.576000000000001</v>
      </c>
      <c r="D7" s="74">
        <f t="shared" ref="D7:G7" si="0">$A7*D5</f>
        <v>18.22</v>
      </c>
      <c r="E7" s="74">
        <f t="shared" si="0"/>
        <v>21.863999999999997</v>
      </c>
      <c r="F7" s="74">
        <f t="shared" si="0"/>
        <v>25.507999999999996</v>
      </c>
      <c r="G7" s="74">
        <f t="shared" si="0"/>
        <v>29.152000000000001</v>
      </c>
    </row>
    <row r="8" spans="1:13" ht="11.45" customHeight="1">
      <c r="A8" s="66" t="s">
        <v>184</v>
      </c>
      <c r="B8" s="63" t="s">
        <v>28</v>
      </c>
      <c r="C8" s="74">
        <v>0.84</v>
      </c>
      <c r="D8" s="74">
        <v>0.84</v>
      </c>
      <c r="E8" s="74">
        <v>1.2</v>
      </c>
      <c r="F8" s="74">
        <v>1.58</v>
      </c>
      <c r="G8" s="74">
        <v>1.99</v>
      </c>
    </row>
    <row r="9" spans="1:13" ht="11.45" customHeight="1">
      <c r="B9" s="63" t="s">
        <v>27</v>
      </c>
      <c r="C9" s="74">
        <f>1.71+C11</f>
        <v>1.774</v>
      </c>
      <c r="D9" s="74">
        <f>1.82+D11</f>
        <v>1.9000000000000001</v>
      </c>
      <c r="E9" s="74">
        <f>2.37+E11</f>
        <v>2.4660000000000002</v>
      </c>
      <c r="F9" s="74">
        <f>2.75+F11</f>
        <v>2.8620000000000001</v>
      </c>
      <c r="G9" s="74">
        <f>4.3+G11</f>
        <v>4.4279999999999999</v>
      </c>
    </row>
    <row r="10" spans="1:13" ht="11.45" customHeight="1">
      <c r="B10" s="62" t="s">
        <v>185</v>
      </c>
      <c r="C10" s="144">
        <f>C7+C8+C9</f>
        <v>17.190000000000001</v>
      </c>
      <c r="D10" s="144">
        <f>D7+D8+D9</f>
        <v>20.959999999999997</v>
      </c>
      <c r="E10" s="144">
        <f>E7+E8+E9</f>
        <v>25.529999999999998</v>
      </c>
      <c r="F10" s="144">
        <f>F7+F8+F9</f>
        <v>29.949999999999996</v>
      </c>
      <c r="G10" s="144">
        <f>G7+G8+G9</f>
        <v>35.57</v>
      </c>
    </row>
    <row r="11" spans="1:13" s="122" customFormat="1" ht="11.45" customHeight="1">
      <c r="B11" s="121" t="s">
        <v>187</v>
      </c>
      <c r="C11" s="139">
        <f t="shared" ref="C11:G11" si="1">$G$2*C5</f>
        <v>6.4000000000000001E-2</v>
      </c>
      <c r="D11" s="139">
        <f t="shared" si="1"/>
        <v>0.08</v>
      </c>
      <c r="E11" s="139">
        <f t="shared" si="1"/>
        <v>9.6000000000000002E-2</v>
      </c>
      <c r="F11" s="139">
        <f t="shared" si="1"/>
        <v>0.11199999999999999</v>
      </c>
      <c r="G11" s="139">
        <f t="shared" si="1"/>
        <v>0.128</v>
      </c>
    </row>
    <row r="12" spans="1:13" ht="11.45" customHeight="1">
      <c r="C12" s="74"/>
      <c r="D12" s="74"/>
      <c r="E12" s="74"/>
      <c r="F12" s="74"/>
      <c r="G12" s="74"/>
    </row>
    <row r="13" spans="1:13" ht="11.45" customHeight="1">
      <c r="B13" s="63" t="s">
        <v>151</v>
      </c>
      <c r="C13" s="74">
        <v>8.56</v>
      </c>
      <c r="D13" s="74">
        <v>8.56</v>
      </c>
      <c r="E13" s="74">
        <v>8.56</v>
      </c>
      <c r="F13" s="74">
        <v>8.56</v>
      </c>
      <c r="G13" s="74">
        <v>8.56</v>
      </c>
    </row>
    <row r="14" spans="1:13" ht="11.45" customHeight="1">
      <c r="B14" s="63" t="s">
        <v>152</v>
      </c>
      <c r="C14" s="74"/>
      <c r="D14" s="74"/>
      <c r="E14" s="74"/>
      <c r="F14" s="74">
        <v>1.3</v>
      </c>
      <c r="G14" s="74">
        <v>1.3</v>
      </c>
    </row>
    <row r="15" spans="1:13" ht="11.45" customHeight="1">
      <c r="B15" s="63" t="s">
        <v>153</v>
      </c>
      <c r="C15" s="74">
        <v>0.8</v>
      </c>
      <c r="D15" s="74">
        <v>2.15</v>
      </c>
      <c r="E15" s="74">
        <v>2.63</v>
      </c>
      <c r="F15" s="74">
        <v>3.37</v>
      </c>
      <c r="G15" s="74">
        <v>3.83</v>
      </c>
    </row>
    <row r="16" spans="1:13" ht="11.45" customHeight="1">
      <c r="B16" s="63" t="s">
        <v>154</v>
      </c>
      <c r="C16" s="68"/>
      <c r="D16" s="74">
        <v>1</v>
      </c>
      <c r="E16" s="74">
        <v>2.72</v>
      </c>
      <c r="F16" s="74">
        <v>2.72</v>
      </c>
      <c r="G16" s="74">
        <v>2.72</v>
      </c>
    </row>
    <row r="17" spans="2:7" ht="11.45" customHeight="1">
      <c r="B17" s="63" t="s">
        <v>155</v>
      </c>
      <c r="C17" s="68"/>
      <c r="D17" s="74">
        <v>0.7</v>
      </c>
      <c r="E17" s="74">
        <v>0.74</v>
      </c>
      <c r="F17" s="74">
        <v>1.0900000000000001</v>
      </c>
      <c r="G17" s="74">
        <v>1.82</v>
      </c>
    </row>
    <row r="18" spans="2:7" ht="11.45" customHeight="1">
      <c r="B18" s="63" t="s">
        <v>156</v>
      </c>
      <c r="C18" s="74">
        <v>0.59</v>
      </c>
      <c r="D18" s="74">
        <v>0.59</v>
      </c>
      <c r="E18" s="74">
        <v>0.59</v>
      </c>
      <c r="F18" s="74">
        <v>0.59</v>
      </c>
      <c r="G18" s="74">
        <v>0.59</v>
      </c>
    </row>
    <row r="19" spans="2:7" ht="15">
      <c r="B19" s="63" t="s">
        <v>19</v>
      </c>
      <c r="C19" s="74">
        <f>C13+C18</f>
        <v>9.15</v>
      </c>
      <c r="D19" s="73">
        <f>D13+D15+D16+D17+D18</f>
        <v>13</v>
      </c>
      <c r="E19" s="73">
        <f>E13+E15+E16+E17+E18</f>
        <v>15.240000000000002</v>
      </c>
      <c r="F19" s="73">
        <f>F13+F14+F15+F16+F17+F18</f>
        <v>17.630000000000003</v>
      </c>
      <c r="G19" s="73">
        <f>G13+G14+G15+G16+G17+G18</f>
        <v>18.82</v>
      </c>
    </row>
  </sheetData>
  <pageMargins left="0" right="0" top="0.25" bottom="0.5"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V24"/>
  <sheetViews>
    <sheetView showGridLines="0" zoomScaleNormal="100" workbookViewId="0">
      <selection activeCell="D30" sqref="D30"/>
    </sheetView>
  </sheetViews>
  <sheetFormatPr defaultColWidth="7.33203125" defaultRowHeight="15"/>
  <cols>
    <col min="1" max="1" width="7.33203125" style="211"/>
    <col min="2" max="2" width="17" style="211" bestFit="1" customWidth="1"/>
    <col min="3" max="3" width="13.77734375" style="211" customWidth="1"/>
    <col min="4" max="6" width="13.77734375" style="216" customWidth="1"/>
    <col min="7" max="7" width="7.33203125" style="219"/>
    <col min="8" max="8" width="11.21875" style="211" bestFit="1" customWidth="1"/>
    <col min="9" max="12" width="11.109375" style="211" customWidth="1"/>
    <col min="13" max="16384" width="7.33203125" style="211"/>
  </cols>
  <sheetData>
    <row r="1" spans="1:22">
      <c r="A1" s="326" t="s">
        <v>396</v>
      </c>
      <c r="B1" s="209"/>
      <c r="C1" s="210"/>
      <c r="G1" s="216"/>
      <c r="H1" s="210"/>
      <c r="I1" s="277" t="s">
        <v>374</v>
      </c>
      <c r="J1" s="212"/>
      <c r="K1" s="212"/>
      <c r="L1" s="212"/>
    </row>
    <row r="2" spans="1:22" s="177" customFormat="1">
      <c r="A2" s="160" t="s">
        <v>56</v>
      </c>
      <c r="B2" s="158" t="s">
        <v>57</v>
      </c>
      <c r="C2" s="257" t="s">
        <v>58</v>
      </c>
      <c r="D2" s="83" t="s">
        <v>60</v>
      </c>
      <c r="E2" s="78" t="s">
        <v>341</v>
      </c>
      <c r="F2" s="160" t="s">
        <v>342</v>
      </c>
    </row>
    <row r="3" spans="1:22" s="177" customFormat="1">
      <c r="A3" s="165" t="s">
        <v>1</v>
      </c>
      <c r="B3" s="166">
        <v>2</v>
      </c>
      <c r="C3" s="256" t="s">
        <v>168</v>
      </c>
      <c r="D3" s="166" t="s">
        <v>350</v>
      </c>
      <c r="E3" s="243" t="s">
        <v>203</v>
      </c>
      <c r="F3" s="165" t="s">
        <v>2</v>
      </c>
    </row>
    <row r="4" spans="1:22">
      <c r="A4" s="242"/>
      <c r="B4" s="210"/>
      <c r="C4" s="213"/>
      <c r="G4" s="249">
        <v>0.16</v>
      </c>
      <c r="H4" s="210" t="s">
        <v>395</v>
      </c>
      <c r="I4" s="322">
        <v>0.65</v>
      </c>
      <c r="J4" s="322">
        <v>0.7</v>
      </c>
      <c r="K4" s="323">
        <v>0.8</v>
      </c>
      <c r="L4" s="323">
        <v>0.9</v>
      </c>
    </row>
    <row r="5" spans="1:22">
      <c r="C5" s="269" t="s">
        <v>179</v>
      </c>
      <c r="D5" s="270" t="s">
        <v>180</v>
      </c>
      <c r="E5" s="270" t="s">
        <v>181</v>
      </c>
      <c r="F5" s="270" t="s">
        <v>182</v>
      </c>
      <c r="H5" s="211" t="s">
        <v>347</v>
      </c>
      <c r="I5" s="320" t="s">
        <v>394</v>
      </c>
      <c r="J5" s="320" t="s">
        <v>338</v>
      </c>
      <c r="K5" s="320" t="s">
        <v>339</v>
      </c>
      <c r="L5" s="320" t="s">
        <v>340</v>
      </c>
    </row>
    <row r="6" spans="1:22">
      <c r="A6" s="215"/>
      <c r="B6" s="211" t="s">
        <v>369</v>
      </c>
      <c r="C6" s="211" t="s">
        <v>204</v>
      </c>
      <c r="D6" s="216" t="s">
        <v>205</v>
      </c>
      <c r="E6" s="216" t="s">
        <v>206</v>
      </c>
      <c r="F6" s="216" t="s">
        <v>207</v>
      </c>
      <c r="H6" s="211" t="s">
        <v>255</v>
      </c>
      <c r="I6" s="321">
        <f>ROUND(I4*'Temp Building Trades 2025'!$AA$82,2)</f>
        <v>29.74</v>
      </c>
      <c r="J6" s="321">
        <f>ROUND(J4*'Temp Building Trades 2025'!$AA$82,2)</f>
        <v>32.03</v>
      </c>
      <c r="K6" s="321">
        <f>ROUND(K4*'Temp Building Trades 2025'!$AA$82,2)</f>
        <v>36.6</v>
      </c>
      <c r="L6" s="321">
        <f>ROUND(L4*'Temp Building Trades 2025'!$AA$82,2)</f>
        <v>41.18</v>
      </c>
      <c r="M6" s="221"/>
      <c r="N6" s="221"/>
      <c r="O6" s="221"/>
      <c r="P6" s="221"/>
      <c r="Q6" s="221"/>
      <c r="R6" s="221"/>
    </row>
    <row r="7" spans="1:22">
      <c r="A7" s="217"/>
      <c r="B7" s="63" t="s">
        <v>72</v>
      </c>
      <c r="C7" s="250">
        <f>C10-C9-C8</f>
        <v>26.599999999999998</v>
      </c>
      <c r="D7" s="250">
        <f>D10-D9-D8</f>
        <v>28.810000000000002</v>
      </c>
      <c r="E7" s="250">
        <f>E10-E9-E8</f>
        <v>33.22</v>
      </c>
      <c r="F7" s="250">
        <f>F10-F9-F8</f>
        <v>37.64</v>
      </c>
      <c r="H7" s="211" t="s">
        <v>371</v>
      </c>
      <c r="I7" s="324">
        <v>0.85</v>
      </c>
      <c r="J7" s="278">
        <f t="shared" ref="J7:J12" si="0">I7</f>
        <v>0.85</v>
      </c>
      <c r="K7" s="278">
        <f t="shared" ref="K7:L7" si="1">J7</f>
        <v>0.85</v>
      </c>
      <c r="L7" s="278">
        <f t="shared" si="1"/>
        <v>0.85</v>
      </c>
      <c r="M7" s="221"/>
      <c r="N7" s="221"/>
      <c r="O7" s="221"/>
      <c r="P7" s="221"/>
      <c r="Q7" s="221"/>
      <c r="R7" s="221"/>
      <c r="S7" s="221"/>
      <c r="T7" s="221"/>
      <c r="U7" s="221"/>
      <c r="V7" s="221"/>
    </row>
    <row r="8" spans="1:22">
      <c r="A8" s="217"/>
      <c r="B8" s="63" t="s">
        <v>268</v>
      </c>
      <c r="C8" s="250">
        <f>I22</f>
        <v>2.14</v>
      </c>
      <c r="D8" s="250">
        <f t="shared" ref="D8:F8" si="2">J22</f>
        <v>2.2200000000000002</v>
      </c>
      <c r="E8" s="250">
        <f t="shared" si="2"/>
        <v>2.38</v>
      </c>
      <c r="F8" s="250">
        <f t="shared" si="2"/>
        <v>2.54</v>
      </c>
      <c r="H8" s="211" t="s">
        <v>151</v>
      </c>
      <c r="I8" s="321">
        <v>10.4</v>
      </c>
      <c r="J8" s="255">
        <f t="shared" si="0"/>
        <v>10.4</v>
      </c>
      <c r="K8" s="255">
        <f>J8</f>
        <v>10.4</v>
      </c>
      <c r="L8" s="255">
        <f>K8</f>
        <v>10.4</v>
      </c>
      <c r="M8" s="221"/>
      <c r="N8" s="221"/>
      <c r="O8" s="221"/>
      <c r="P8" s="221"/>
      <c r="Q8" s="221"/>
      <c r="R8" s="221"/>
      <c r="S8" s="221"/>
      <c r="T8" s="221"/>
      <c r="U8" s="221"/>
      <c r="V8" s="221"/>
    </row>
    <row r="9" spans="1:22">
      <c r="B9" s="63" t="s">
        <v>27</v>
      </c>
      <c r="C9" s="250">
        <f>I21</f>
        <v>1</v>
      </c>
      <c r="D9" s="250">
        <f t="shared" ref="D9:F9" si="3">J21</f>
        <v>1</v>
      </c>
      <c r="E9" s="250">
        <f t="shared" si="3"/>
        <v>1</v>
      </c>
      <c r="F9" s="250">
        <f t="shared" si="3"/>
        <v>1</v>
      </c>
      <c r="H9" s="211" t="s">
        <v>256</v>
      </c>
      <c r="I9" s="321">
        <v>5.59</v>
      </c>
      <c r="J9" s="255">
        <f t="shared" si="0"/>
        <v>5.59</v>
      </c>
      <c r="K9" s="255">
        <f t="shared" ref="K9:L9" si="4">J9</f>
        <v>5.59</v>
      </c>
      <c r="L9" s="255">
        <f t="shared" si="4"/>
        <v>5.59</v>
      </c>
      <c r="M9" s="221"/>
      <c r="N9" s="221"/>
      <c r="O9" s="221"/>
      <c r="P9" s="221"/>
      <c r="Q9" s="221"/>
      <c r="R9" s="221"/>
      <c r="S9" s="221"/>
      <c r="T9" s="221"/>
      <c r="U9" s="221"/>
      <c r="V9" s="221"/>
    </row>
    <row r="10" spans="1:22">
      <c r="B10" s="62" t="s">
        <v>185</v>
      </c>
      <c r="C10" s="325">
        <f>I6</f>
        <v>29.74</v>
      </c>
      <c r="D10" s="325">
        <f t="shared" ref="D10:F10" si="5">J6</f>
        <v>32.03</v>
      </c>
      <c r="E10" s="325">
        <f t="shared" si="5"/>
        <v>36.6</v>
      </c>
      <c r="F10" s="325">
        <f t="shared" si="5"/>
        <v>41.18</v>
      </c>
      <c r="H10" s="211" t="s">
        <v>257</v>
      </c>
      <c r="I10" s="321">
        <v>3.53</v>
      </c>
      <c r="J10" s="255">
        <f t="shared" si="0"/>
        <v>3.53</v>
      </c>
      <c r="K10" s="255">
        <f t="shared" ref="K10:L10" si="6">J10</f>
        <v>3.53</v>
      </c>
      <c r="L10" s="255">
        <f t="shared" si="6"/>
        <v>3.53</v>
      </c>
      <c r="M10" s="221"/>
      <c r="N10" s="221"/>
      <c r="O10" s="221"/>
      <c r="P10" s="221"/>
      <c r="Q10" s="221"/>
      <c r="R10" s="221"/>
      <c r="S10" s="221"/>
      <c r="T10" s="221"/>
      <c r="U10" s="221"/>
      <c r="V10" s="221"/>
    </row>
    <row r="11" spans="1:22" s="218" customFormat="1">
      <c r="B11" s="121" t="s">
        <v>187</v>
      </c>
      <c r="C11" s="268"/>
      <c r="D11" s="216"/>
      <c r="E11" s="216"/>
      <c r="F11" s="216"/>
      <c r="G11" s="252"/>
      <c r="H11" s="276" t="s">
        <v>258</v>
      </c>
      <c r="I11" s="321">
        <v>0.82</v>
      </c>
      <c r="J11" s="255">
        <f t="shared" si="0"/>
        <v>0.82</v>
      </c>
      <c r="K11" s="255">
        <f t="shared" ref="K11:L11" si="7">J11</f>
        <v>0.82</v>
      </c>
      <c r="L11" s="255">
        <f t="shared" si="7"/>
        <v>0.82</v>
      </c>
      <c r="M11" s="253"/>
      <c r="N11" s="253"/>
      <c r="O11" s="253"/>
      <c r="P11" s="253"/>
      <c r="Q11" s="253"/>
      <c r="R11" s="253"/>
      <c r="S11" s="253"/>
      <c r="T11" s="253"/>
      <c r="U11" s="253"/>
      <c r="V11" s="253"/>
    </row>
    <row r="12" spans="1:22">
      <c r="C12" s="254"/>
      <c r="H12" s="276" t="s">
        <v>259</v>
      </c>
      <c r="I12" s="324">
        <v>0.1</v>
      </c>
      <c r="J12" s="255">
        <f t="shared" si="0"/>
        <v>0.1</v>
      </c>
      <c r="K12" s="255">
        <f>J12</f>
        <v>0.1</v>
      </c>
      <c r="L12" s="255">
        <f>K12</f>
        <v>0.1</v>
      </c>
      <c r="M12" s="221"/>
      <c r="N12" s="221"/>
      <c r="O12" s="221"/>
      <c r="P12" s="221"/>
      <c r="Q12" s="221"/>
      <c r="R12" s="221"/>
      <c r="S12" s="221"/>
      <c r="T12" s="221"/>
      <c r="U12" s="221"/>
      <c r="V12" s="221"/>
    </row>
    <row r="13" spans="1:22">
      <c r="B13" s="63" t="s">
        <v>151</v>
      </c>
      <c r="C13" s="250">
        <f>I8</f>
        <v>10.4</v>
      </c>
      <c r="D13" s="250">
        <f t="shared" ref="D13:F13" si="8">J8</f>
        <v>10.4</v>
      </c>
      <c r="E13" s="250">
        <f t="shared" si="8"/>
        <v>10.4</v>
      </c>
      <c r="F13" s="250">
        <f t="shared" si="8"/>
        <v>10.4</v>
      </c>
      <c r="H13" s="276" t="s">
        <v>260</v>
      </c>
      <c r="I13" s="324">
        <v>0.16</v>
      </c>
      <c r="J13" s="255">
        <f t="shared" ref="J13:L14" si="9">I13</f>
        <v>0.16</v>
      </c>
      <c r="K13" s="255">
        <f t="shared" si="9"/>
        <v>0.16</v>
      </c>
      <c r="L13" s="255">
        <f t="shared" si="9"/>
        <v>0.16</v>
      </c>
      <c r="M13" s="221"/>
      <c r="N13" s="221"/>
      <c r="O13" s="221"/>
      <c r="P13" s="221"/>
      <c r="Q13" s="221"/>
      <c r="R13" s="221"/>
      <c r="S13" s="221"/>
      <c r="T13" s="221"/>
      <c r="U13" s="221"/>
      <c r="V13" s="221"/>
    </row>
    <row r="14" spans="1:22">
      <c r="B14" s="63" t="s">
        <v>30</v>
      </c>
      <c r="C14" s="250">
        <f>I9+I10</f>
        <v>9.1199999999999992</v>
      </c>
      <c r="D14" s="250">
        <f t="shared" ref="D14:F14" si="10">J9+J10</f>
        <v>9.1199999999999992</v>
      </c>
      <c r="E14" s="250">
        <f t="shared" si="10"/>
        <v>9.1199999999999992</v>
      </c>
      <c r="F14" s="250">
        <f t="shared" si="10"/>
        <v>9.1199999999999992</v>
      </c>
      <c r="H14" s="276" t="s">
        <v>390</v>
      </c>
      <c r="I14" s="324">
        <v>0.02</v>
      </c>
      <c r="J14" s="255">
        <f t="shared" si="9"/>
        <v>0.02</v>
      </c>
      <c r="K14" s="255">
        <f t="shared" si="9"/>
        <v>0.02</v>
      </c>
      <c r="L14" s="255">
        <f t="shared" si="9"/>
        <v>0.02</v>
      </c>
      <c r="M14" s="221"/>
      <c r="N14" s="221"/>
      <c r="O14" s="221"/>
      <c r="P14" s="221"/>
      <c r="Q14" s="221"/>
      <c r="R14" s="221"/>
      <c r="S14" s="221"/>
      <c r="T14" s="221"/>
      <c r="U14" s="221"/>
      <c r="V14" s="221"/>
    </row>
    <row r="15" spans="1:22">
      <c r="B15" s="63" t="s">
        <v>209</v>
      </c>
      <c r="C15" s="250">
        <f>I11</f>
        <v>0.82</v>
      </c>
      <c r="D15" s="250">
        <f t="shared" ref="D15:F15" si="11">J11</f>
        <v>0.82</v>
      </c>
      <c r="E15" s="250">
        <f t="shared" si="11"/>
        <v>0.82</v>
      </c>
      <c r="F15" s="250">
        <f t="shared" si="11"/>
        <v>0.82</v>
      </c>
      <c r="H15" s="276" t="s">
        <v>261</v>
      </c>
      <c r="I15" s="324">
        <v>0.01</v>
      </c>
      <c r="J15" s="255">
        <f t="shared" ref="J15:L15" si="12">I15</f>
        <v>0.01</v>
      </c>
      <c r="K15" s="255">
        <f t="shared" si="12"/>
        <v>0.01</v>
      </c>
      <c r="L15" s="255">
        <f t="shared" si="12"/>
        <v>0.01</v>
      </c>
      <c r="M15" s="221"/>
      <c r="N15" s="221"/>
      <c r="O15" s="221"/>
      <c r="P15" s="221"/>
      <c r="Q15" s="221"/>
      <c r="R15" s="221"/>
      <c r="S15" s="221"/>
      <c r="T15" s="221"/>
      <c r="U15" s="221"/>
      <c r="V15" s="221"/>
    </row>
    <row r="16" spans="1:22">
      <c r="B16" s="62" t="s">
        <v>19</v>
      </c>
      <c r="C16" s="251">
        <f>SUM(C13:C15)</f>
        <v>20.34</v>
      </c>
      <c r="D16" s="251">
        <f t="shared" ref="D16:F16" si="13">SUM(D13:D15)</f>
        <v>20.34</v>
      </c>
      <c r="E16" s="251">
        <f t="shared" si="13"/>
        <v>20.34</v>
      </c>
      <c r="F16" s="251">
        <f t="shared" si="13"/>
        <v>20.34</v>
      </c>
      <c r="H16" s="276" t="s">
        <v>262</v>
      </c>
      <c r="I16" s="324">
        <v>0.1</v>
      </c>
      <c r="J16" s="255">
        <f t="shared" ref="J16:L16" si="14">I16</f>
        <v>0.1</v>
      </c>
      <c r="K16" s="255">
        <f t="shared" si="14"/>
        <v>0.1</v>
      </c>
      <c r="L16" s="255">
        <f t="shared" si="14"/>
        <v>0.1</v>
      </c>
      <c r="M16" s="221"/>
      <c r="N16" s="221"/>
      <c r="O16" s="221"/>
      <c r="P16" s="221"/>
      <c r="Q16" s="221"/>
      <c r="R16" s="221"/>
    </row>
    <row r="17" spans="3:18">
      <c r="H17" s="211" t="s">
        <v>263</v>
      </c>
      <c r="I17" s="324">
        <v>1.21</v>
      </c>
      <c r="J17" s="255">
        <f t="shared" ref="J17:L17" si="15">I17</f>
        <v>1.21</v>
      </c>
      <c r="K17" s="255">
        <f t="shared" si="15"/>
        <v>1.21</v>
      </c>
      <c r="L17" s="255">
        <f t="shared" si="15"/>
        <v>1.21</v>
      </c>
      <c r="M17" s="221"/>
      <c r="N17" s="221"/>
      <c r="O17" s="221"/>
      <c r="P17" s="221"/>
      <c r="Q17" s="221"/>
      <c r="R17" s="221"/>
    </row>
    <row r="18" spans="3:18">
      <c r="H18" s="211" t="s">
        <v>264</v>
      </c>
      <c r="I18" s="324">
        <v>0.1</v>
      </c>
      <c r="J18" s="255">
        <f t="shared" ref="J18:L18" si="16">I18</f>
        <v>0.1</v>
      </c>
      <c r="K18" s="255">
        <f t="shared" si="16"/>
        <v>0.1</v>
      </c>
      <c r="L18" s="255">
        <f t="shared" si="16"/>
        <v>0.1</v>
      </c>
      <c r="M18" s="221"/>
      <c r="N18" s="221"/>
      <c r="O18" s="221"/>
      <c r="P18" s="221"/>
      <c r="Q18" s="221"/>
      <c r="R18" s="221"/>
    </row>
    <row r="19" spans="3:18">
      <c r="C19" s="219"/>
      <c r="H19" s="211" t="s">
        <v>265</v>
      </c>
      <c r="I19" s="324">
        <v>0.01</v>
      </c>
      <c r="J19" s="255">
        <f t="shared" ref="J19:L19" si="17">I19</f>
        <v>0.01</v>
      </c>
      <c r="K19" s="255">
        <f t="shared" si="17"/>
        <v>0.01</v>
      </c>
      <c r="L19" s="255">
        <f t="shared" si="17"/>
        <v>0.01</v>
      </c>
      <c r="N19" s="221"/>
      <c r="O19" s="221"/>
      <c r="P19" s="221"/>
      <c r="Q19" s="221"/>
      <c r="R19" s="221"/>
    </row>
    <row r="20" spans="3:18">
      <c r="H20" s="211" t="s">
        <v>266</v>
      </c>
      <c r="I20" s="321">
        <f>SUM(I6:I10,I17:I19)</f>
        <v>51.43</v>
      </c>
      <c r="J20" s="321">
        <f>SUM(J6:J10,J17:J19)</f>
        <v>53.720000000000006</v>
      </c>
      <c r="K20" s="321">
        <f>SUM(K6:K10,K17:K19)</f>
        <v>58.29</v>
      </c>
      <c r="L20" s="321">
        <f>SUM(L6:L10,L17:L19)</f>
        <v>62.87</v>
      </c>
      <c r="M20" s="221" t="s">
        <v>373</v>
      </c>
      <c r="N20" s="221"/>
      <c r="O20" s="221"/>
      <c r="P20" s="221"/>
      <c r="Q20" s="221"/>
      <c r="R20" s="221"/>
    </row>
    <row r="21" spans="3:18">
      <c r="H21" s="211" t="s">
        <v>267</v>
      </c>
      <c r="I21" s="321">
        <v>1</v>
      </c>
      <c r="J21" s="255">
        <f>I21</f>
        <v>1</v>
      </c>
      <c r="K21" s="255">
        <f t="shared" ref="K21:L21" si="18">J21</f>
        <v>1</v>
      </c>
      <c r="L21" s="255">
        <f t="shared" si="18"/>
        <v>1</v>
      </c>
    </row>
    <row r="22" spans="3:18">
      <c r="H22" s="211" t="s">
        <v>268</v>
      </c>
      <c r="I22" s="321">
        <v>2.14</v>
      </c>
      <c r="J22" s="321">
        <v>2.2200000000000002</v>
      </c>
      <c r="K22" s="321">
        <v>2.38</v>
      </c>
      <c r="L22" s="321">
        <v>2.54</v>
      </c>
    </row>
    <row r="24" spans="3:18">
      <c r="I24" s="275"/>
    </row>
  </sheetData>
  <pageMargins left="0" right="0" top="0.25" bottom="0.5" header="0.5" footer="0.5"/>
  <pageSetup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25"/>
  <sheetViews>
    <sheetView showGridLines="0" zoomScaleNormal="100" workbookViewId="0">
      <selection activeCell="E11" sqref="E11"/>
    </sheetView>
  </sheetViews>
  <sheetFormatPr defaultColWidth="8.88671875" defaultRowHeight="15"/>
  <cols>
    <col min="1" max="1" width="10.33203125" style="211" customWidth="1"/>
    <col min="2" max="2" width="22" style="211" customWidth="1"/>
    <col min="3" max="3" width="10.33203125" style="211" bestFit="1" customWidth="1"/>
    <col min="4" max="4" width="11.21875" style="211" customWidth="1"/>
    <col min="5" max="5" width="14.44140625" style="211" customWidth="1"/>
    <col min="6" max="6" width="11.5546875" style="211" bestFit="1" customWidth="1"/>
    <col min="7" max="8" width="10.109375" style="211" customWidth="1"/>
    <col min="9" max="9" width="10" style="211" customWidth="1"/>
    <col min="10" max="10" width="9.77734375" style="211" customWidth="1"/>
    <col min="11" max="11" width="10.5546875" style="211" customWidth="1"/>
    <col min="12" max="16384" width="8.88671875" style="211"/>
  </cols>
  <sheetData>
    <row r="1" spans="1:13">
      <c r="A1" s="326" t="s">
        <v>397</v>
      </c>
      <c r="B1" s="209"/>
      <c r="C1" s="210"/>
      <c r="D1" s="209"/>
      <c r="G1" s="210"/>
      <c r="H1" s="210"/>
      <c r="I1" s="210"/>
      <c r="J1" s="210"/>
      <c r="K1" s="212"/>
      <c r="L1" s="212"/>
      <c r="M1" s="212"/>
    </row>
    <row r="2" spans="1:13" s="177" customFormat="1">
      <c r="A2" s="160" t="s">
        <v>56</v>
      </c>
      <c r="B2" s="158" t="s">
        <v>57</v>
      </c>
      <c r="C2" s="257" t="s">
        <v>58</v>
      </c>
      <c r="D2" s="83" t="s">
        <v>60</v>
      </c>
      <c r="E2" s="78" t="s">
        <v>341</v>
      </c>
      <c r="F2" s="160" t="s">
        <v>342</v>
      </c>
    </row>
    <row r="3" spans="1:13" s="177" customFormat="1">
      <c r="A3" s="165" t="s">
        <v>1</v>
      </c>
      <c r="B3" s="166">
        <v>2</v>
      </c>
      <c r="C3" s="256" t="s">
        <v>148</v>
      </c>
      <c r="D3" s="166" t="s">
        <v>149</v>
      </c>
      <c r="E3" s="243" t="s">
        <v>352</v>
      </c>
      <c r="F3" s="165" t="s">
        <v>2</v>
      </c>
    </row>
    <row r="4" spans="1:13">
      <c r="A4" s="242"/>
      <c r="B4" s="210"/>
      <c r="C4" s="213"/>
      <c r="D4" s="209"/>
      <c r="G4" s="214">
        <v>0.16</v>
      </c>
      <c r="H4" s="210"/>
      <c r="I4" s="210"/>
      <c r="J4" s="210"/>
      <c r="K4" s="212"/>
      <c r="L4" s="212"/>
      <c r="M4" s="212"/>
    </row>
    <row r="5" spans="1:13">
      <c r="C5" s="210"/>
      <c r="D5" s="210"/>
      <c r="E5" s="210"/>
    </row>
    <row r="6" spans="1:13">
      <c r="A6" s="215" t="s">
        <v>352</v>
      </c>
    </row>
    <row r="7" spans="1:13">
      <c r="A7" s="143" t="s">
        <v>202</v>
      </c>
      <c r="B7" s="143"/>
      <c r="C7" s="328">
        <v>0.45</v>
      </c>
      <c r="D7" s="328">
        <v>0.5</v>
      </c>
      <c r="E7" s="328">
        <v>0.6</v>
      </c>
      <c r="F7" s="328">
        <v>0.7</v>
      </c>
      <c r="G7" s="328">
        <v>0.8</v>
      </c>
    </row>
    <row r="8" spans="1:13">
      <c r="A8" s="222"/>
      <c r="B8" s="63"/>
      <c r="C8" s="210" t="s">
        <v>20</v>
      </c>
      <c r="D8" s="210" t="s">
        <v>21</v>
      </c>
      <c r="E8" s="210" t="s">
        <v>22</v>
      </c>
      <c r="F8" s="210" t="s">
        <v>23</v>
      </c>
      <c r="G8" s="210" t="s">
        <v>24</v>
      </c>
    </row>
    <row r="9" spans="1:13">
      <c r="A9" s="248"/>
      <c r="B9" s="63" t="s">
        <v>403</v>
      </c>
      <c r="C9" s="255">
        <f>C13-C12-C10-C11</f>
        <v>21.669999999999998</v>
      </c>
      <c r="D9" s="255">
        <f>D13-D12-D10-D11</f>
        <v>24.210000000000004</v>
      </c>
      <c r="E9" s="255">
        <f>E13-E12-E10-E11</f>
        <v>29.29</v>
      </c>
      <c r="F9" s="255">
        <f>F13-F12-F10-F11</f>
        <v>34.369999999999997</v>
      </c>
      <c r="G9" s="255">
        <f>G13-G12-G10-G11</f>
        <v>39.430000000000007</v>
      </c>
    </row>
    <row r="10" spans="1:13">
      <c r="A10" s="217" t="s">
        <v>184</v>
      </c>
      <c r="B10" s="63" t="s">
        <v>328</v>
      </c>
      <c r="C10" s="321">
        <v>1.46</v>
      </c>
      <c r="D10" s="321">
        <v>1.63</v>
      </c>
      <c r="E10" s="321">
        <v>1.95</v>
      </c>
      <c r="F10" s="321">
        <v>2.6</v>
      </c>
      <c r="G10" s="321">
        <v>2.98</v>
      </c>
    </row>
    <row r="11" spans="1:13">
      <c r="B11" s="63" t="s">
        <v>297</v>
      </c>
      <c r="C11" s="321">
        <v>1.76</v>
      </c>
      <c r="D11" s="321">
        <v>1.79</v>
      </c>
      <c r="E11" s="321">
        <v>2.93</v>
      </c>
      <c r="F11" s="321">
        <v>2.96</v>
      </c>
      <c r="G11" s="321">
        <v>4.3</v>
      </c>
    </row>
    <row r="12" spans="1:13">
      <c r="A12" s="217"/>
      <c r="B12" s="63" t="s">
        <v>285</v>
      </c>
      <c r="C12" s="321">
        <v>0.4</v>
      </c>
      <c r="D12" s="321">
        <v>0.4</v>
      </c>
      <c r="E12" s="321">
        <v>0.5</v>
      </c>
      <c r="F12" s="321">
        <v>0.5</v>
      </c>
      <c r="G12" s="321">
        <v>0.5</v>
      </c>
    </row>
    <row r="13" spans="1:13">
      <c r="B13" s="62" t="s">
        <v>404</v>
      </c>
      <c r="C13" s="331">
        <v>25.29</v>
      </c>
      <c r="D13" s="331">
        <v>28.03</v>
      </c>
      <c r="E13" s="331">
        <v>34.67</v>
      </c>
      <c r="F13" s="331">
        <v>40.43</v>
      </c>
      <c r="G13" s="331">
        <v>47.21</v>
      </c>
    </row>
    <row r="14" spans="1:13">
      <c r="C14" s="220"/>
      <c r="D14" s="220"/>
      <c r="E14" s="220"/>
      <c r="F14" s="220"/>
      <c r="G14" s="220"/>
    </row>
    <row r="15" spans="1:13">
      <c r="B15" s="63" t="s">
        <v>284</v>
      </c>
      <c r="C15" s="321">
        <v>13.4</v>
      </c>
      <c r="D15" s="321">
        <f>C15</f>
        <v>13.4</v>
      </c>
      <c r="E15" s="321">
        <f t="shared" ref="E15:G15" si="0">D15</f>
        <v>13.4</v>
      </c>
      <c r="F15" s="321">
        <f t="shared" si="0"/>
        <v>13.4</v>
      </c>
      <c r="G15" s="321">
        <f t="shared" si="0"/>
        <v>13.4</v>
      </c>
    </row>
    <row r="16" spans="1:13">
      <c r="B16" s="63" t="s">
        <v>152</v>
      </c>
      <c r="C16" s="262"/>
      <c r="D16" s="262"/>
      <c r="E16" s="262"/>
      <c r="F16" s="321">
        <v>1.55</v>
      </c>
      <c r="G16" s="321">
        <v>1.55</v>
      </c>
    </row>
    <row r="17" spans="2:7">
      <c r="B17" s="63" t="s">
        <v>220</v>
      </c>
      <c r="C17" s="321">
        <v>1.4</v>
      </c>
      <c r="D17" s="321">
        <f>C17</f>
        <v>1.4</v>
      </c>
      <c r="E17" s="321">
        <f t="shared" ref="E17:G17" si="1">D17</f>
        <v>1.4</v>
      </c>
      <c r="F17" s="321">
        <f t="shared" si="1"/>
        <v>1.4</v>
      </c>
      <c r="G17" s="321">
        <f t="shared" si="1"/>
        <v>1.4</v>
      </c>
    </row>
    <row r="18" spans="2:7" s="218" customFormat="1">
      <c r="B18" s="63" t="s">
        <v>330</v>
      </c>
      <c r="C18" s="321">
        <v>1.84</v>
      </c>
      <c r="D18" s="321">
        <v>2.76</v>
      </c>
      <c r="E18" s="321">
        <v>3</v>
      </c>
      <c r="F18" s="321">
        <v>4.5</v>
      </c>
      <c r="G18" s="321">
        <v>6</v>
      </c>
    </row>
    <row r="19" spans="2:7">
      <c r="B19" s="63" t="s">
        <v>357</v>
      </c>
      <c r="C19" s="262"/>
      <c r="D19" s="321">
        <v>1</v>
      </c>
      <c r="E19" s="321">
        <v>2.72</v>
      </c>
      <c r="F19" s="321">
        <v>2.72</v>
      </c>
      <c r="G19" s="321">
        <v>2.72</v>
      </c>
    </row>
    <row r="20" spans="2:7">
      <c r="B20" s="63" t="s">
        <v>329</v>
      </c>
      <c r="C20" s="262"/>
      <c r="D20" s="262"/>
      <c r="E20" s="321">
        <v>0.72</v>
      </c>
      <c r="F20" s="321">
        <v>1.22</v>
      </c>
      <c r="G20" s="321">
        <v>2.2599999999999998</v>
      </c>
    </row>
    <row r="21" spans="2:7">
      <c r="B21" s="62" t="s">
        <v>332</v>
      </c>
      <c r="C21" s="332">
        <f>C15+C18+C17</f>
        <v>16.64</v>
      </c>
      <c r="D21" s="332">
        <f>D15+D18+D19+D20+D17</f>
        <v>18.559999999999999</v>
      </c>
      <c r="E21" s="332">
        <f>E15+E18+E19+E20+E17</f>
        <v>21.239999999999995</v>
      </c>
      <c r="F21" s="332">
        <f>F15+F16+F18+F19+F20+F17</f>
        <v>24.79</v>
      </c>
      <c r="G21" s="332">
        <f>G15+G16+G18+G19+G20+G17</f>
        <v>27.33</v>
      </c>
    </row>
    <row r="22" spans="2:7">
      <c r="C22" s="221"/>
      <c r="D22" s="221"/>
      <c r="E22" s="221"/>
      <c r="F22" s="221"/>
      <c r="G22" s="221"/>
    </row>
    <row r="23" spans="2:7">
      <c r="B23" s="62" t="s">
        <v>331</v>
      </c>
      <c r="C23" s="332">
        <f>C13+C21</f>
        <v>41.93</v>
      </c>
      <c r="D23" s="332">
        <f t="shared" ref="D23:G23" si="2">D13+D21</f>
        <v>46.59</v>
      </c>
      <c r="E23" s="332">
        <f t="shared" si="2"/>
        <v>55.91</v>
      </c>
      <c r="F23" s="332">
        <f t="shared" si="2"/>
        <v>65.22</v>
      </c>
      <c r="G23" s="332">
        <f t="shared" si="2"/>
        <v>74.539999999999992</v>
      </c>
    </row>
    <row r="24" spans="2:7">
      <c r="C24" s="219"/>
      <c r="D24" s="219"/>
      <c r="E24" s="219"/>
      <c r="F24" s="219"/>
      <c r="G24" s="219"/>
    </row>
    <row r="25" spans="2:7">
      <c r="C25" s="329"/>
    </row>
  </sheetData>
  <pageMargins left="0" right="0" top="0.25" bottom="0.5" header="0.5" footer="0.5"/>
  <pageSetup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14FDC-DB5B-4164-8594-5971FC8DE7A4}">
  <sheetPr codeName="Sheet14"/>
  <dimension ref="A1:C3"/>
  <sheetViews>
    <sheetView workbookViewId="0">
      <selection activeCell="C11" sqref="C11"/>
    </sheetView>
  </sheetViews>
  <sheetFormatPr defaultColWidth="8.88671875" defaultRowHeight="15"/>
  <cols>
    <col min="1" max="1" width="8.33203125" style="177" bestFit="1" customWidth="1"/>
    <col min="2" max="2" width="10.109375" style="177" bestFit="1" customWidth="1"/>
    <col min="3" max="3" width="91" style="177" bestFit="1" customWidth="1"/>
    <col min="4" max="16384" width="8.88671875" style="177"/>
  </cols>
  <sheetData>
    <row r="1" spans="1:3">
      <c r="A1" s="282">
        <v>43964</v>
      </c>
      <c r="B1" s="177" t="s">
        <v>301</v>
      </c>
      <c r="C1" s="177" t="s">
        <v>303</v>
      </c>
    </row>
    <row r="2" spans="1:3">
      <c r="A2" s="282" t="s">
        <v>300</v>
      </c>
      <c r="B2" s="177" t="s">
        <v>301</v>
      </c>
      <c r="C2" s="177" t="s">
        <v>302</v>
      </c>
    </row>
    <row r="3" spans="1:3">
      <c r="A3" s="282">
        <v>44348</v>
      </c>
      <c r="B3" s="177" t="s">
        <v>336</v>
      </c>
      <c r="C3" s="177" t="s">
        <v>349</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Temp Building Trades 2025</vt:lpstr>
      <vt:lpstr>Apprentice Carpenter 2025</vt:lpstr>
      <vt:lpstr>Apprentice 2011</vt:lpstr>
      <vt:lpstr>Apprentice 1 1 2012</vt:lpstr>
      <vt:lpstr>Apprentice 6 1 2012</vt:lpstr>
      <vt:lpstr>Apprentice Plumber 2016</vt:lpstr>
      <vt:lpstr>Apprentice Painter 2025</vt:lpstr>
      <vt:lpstr>Apprentice Plumber 2025</vt:lpstr>
      <vt:lpstr>Notes</vt:lpstr>
      <vt:lpstr>Apprentice Ironworker 2020</vt:lpstr>
      <vt:lpstr>Apprentice Iron Worker 2019</vt:lpstr>
      <vt:lpstr>2013 HRIS PROOF rates</vt:lpstr>
      <vt:lpstr>Sheet1</vt:lpstr>
      <vt:lpstr>Apprentice Painter 2016</vt:lpstr>
      <vt:lpstr>'Temp Building Trades 2025'!A</vt:lpstr>
      <vt:lpstr>'Temp Building Trades 2025'!B</vt:lpstr>
      <vt:lpstr>'Temp Building Trades 2025'!C_</vt:lpstr>
      <vt:lpstr>'Apprentice 1 1 2012'!Print_Area</vt:lpstr>
      <vt:lpstr>'Apprentice 2011'!Print_Area</vt:lpstr>
      <vt:lpstr>'Apprentice 6 1 2012'!Print_Area</vt:lpstr>
      <vt:lpstr>'Apprentice Painter 2016'!Print_Area</vt:lpstr>
      <vt:lpstr>'Apprentice Painter 2025'!Print_Area</vt:lpstr>
      <vt:lpstr>'Apprentice Plumber 2016'!Print_Area</vt:lpstr>
      <vt:lpstr>'Apprentice Plumber 2025'!Print_Area</vt:lpstr>
      <vt:lpstr>'Temp Building Trades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City of Minneapolis</dc:creator>
  <cp:lastModifiedBy>Miller, Brenda (she/her/hers)</cp:lastModifiedBy>
  <cp:lastPrinted>2019-11-13T16:57:20Z</cp:lastPrinted>
  <dcterms:created xsi:type="dcterms:W3CDTF">1998-09-14T20:48:50Z</dcterms:created>
  <dcterms:modified xsi:type="dcterms:W3CDTF">2025-10-20T18:51:51Z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