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heckCompatibility="1" defaultThemeVersion="124226"/>
  <mc:AlternateContent xmlns:mc="http://schemas.openxmlformats.org/markup-compatibility/2006">
    <mc:Choice Requires="x15">
      <x15ac:absPath xmlns:x15ac="http://schemas.microsoft.com/office/spreadsheetml/2010/11/ac" url="M:\Human Resources\LABOR\1 (CSE) 70 IUOE\Salary Schedules\"/>
    </mc:Choice>
  </mc:AlternateContent>
  <xr:revisionPtr revIDLastSave="0" documentId="8_{7B0A2DA2-8F04-4D06-A92C-34AAD6E58E61}" xr6:coauthVersionLast="47" xr6:coauthVersionMax="47" xr10:uidLastSave="{00000000-0000-0000-0000-000000000000}"/>
  <workbookProtection lockStructure="1"/>
  <bookViews>
    <workbookView xWindow="-28710" yWindow="-3645" windowWidth="28740" windowHeight="15585" firstSheet="13" activeTab="14" xr2:uid="{00000000-000D-0000-FFFF-FFFF00000000}"/>
  </bookViews>
  <sheets>
    <sheet name="October 2015" sheetId="12" state="hidden" r:id="rId1"/>
    <sheet name="October 1 2016" sheetId="13" state="hidden" r:id="rId2"/>
    <sheet name="October 1 2017" sheetId="16" state="hidden" r:id="rId3"/>
    <sheet name="May 13 2018" sheetId="18" state="hidden" r:id="rId4"/>
    <sheet name="October 1 2018" sheetId="17" state="hidden" r:id="rId5"/>
    <sheet name="October 1 2019" sheetId="20" state="hidden" r:id="rId6"/>
    <sheet name="March 29 2020" sheetId="24" state="hidden" r:id="rId7"/>
    <sheet name="October 1 2020" sheetId="21" state="hidden" r:id="rId8"/>
    <sheet name="October 1 2021" sheetId="22" state="hidden" r:id="rId9"/>
    <sheet name="October 1, 2022" sheetId="25" state="hidden" r:id="rId10"/>
    <sheet name="October 1, 2023" sheetId="27" state="hidden" r:id="rId11"/>
    <sheet name="January 1, 2024" sheetId="28" state="hidden" r:id="rId12"/>
    <sheet name="October 1, 2024" sheetId="29" state="hidden" r:id="rId13"/>
    <sheet name="October 1, 2025" sheetId="30" r:id="rId14"/>
    <sheet name="October 1, 2026" sheetId="31" r:id="rId15"/>
    <sheet name="October 1, 2027" sheetId="32" r:id="rId16"/>
    <sheet name="Notes" sheetId="23" state="hidden" r:id="rId17"/>
  </sheets>
  <definedNames>
    <definedName name="Data25.1">'October 1, 2025'!$M$66:$O$68</definedName>
    <definedName name="DataJan2024">'January 1, 2024'!$M$9:$O$66</definedName>
    <definedName name="DataOct24">'October 1, 2024'!$M$8:$O$66</definedName>
    <definedName name="DataOct25">'October 1, 2025'!$M$8:$O$59</definedName>
    <definedName name="DataOct26">'October 1, 2026'!$M$8:$O$67</definedName>
    <definedName name="IncrPerc2021">'October 1 2021'!$N$1</definedName>
    <definedName name="IncrPerc2022">'October 1, 2022'!$O$2</definedName>
    <definedName name="IncrPerc2023">'October 1, 2023'!$O$2</definedName>
    <definedName name="IncrPerc2024" localSheetId="12">'October 1, 2024'!$O$2</definedName>
    <definedName name="IncrPerc2024" localSheetId="13">'October 1, 2025'!$O$2</definedName>
    <definedName name="IncrPerc2024" localSheetId="14">'October 1, 2026'!$O$2</definedName>
    <definedName name="IncrPerc2024" localSheetId="15">'October 1, 2027'!$O$2</definedName>
    <definedName name="IncrPerc2024">'January 1, 2024'!$O$2</definedName>
    <definedName name="IncrPercJan2024" localSheetId="13">'October 1, 2025'!$O$2</definedName>
    <definedName name="IncrPercJan2024" localSheetId="14">'October 1, 2026'!$O$2</definedName>
    <definedName name="IncrPercJan2024" localSheetId="15">'October 1, 2027'!$O$2</definedName>
    <definedName name="IncrPercJan2024">'October 1, 2024'!$O$2</definedName>
    <definedName name="October2020Rates">'October 1 2020'!$L:$N</definedName>
    <definedName name="October2021Rates">'October 1 2021'!$L$4:$N$100</definedName>
    <definedName name="October2022Rates">'October 1, 2022'!$M$7:$O$76</definedName>
    <definedName name="October2023Rates">'October 1, 2023'!$M$7:$O$65</definedName>
    <definedName name="OLE_LINK1" localSheetId="6">'March 29 2020'!#REF!</definedName>
    <definedName name="OLE_LINK1" localSheetId="3">'May 13 2018'!#REF!</definedName>
    <definedName name="OLE_LINK1" localSheetId="1">'October 1 2016'!#REF!</definedName>
    <definedName name="OLE_LINK1" localSheetId="2">'October 1 2017'!#REF!</definedName>
    <definedName name="OLE_LINK1" localSheetId="4">'October 1 2018'!#REF!</definedName>
    <definedName name="OLE_LINK1" localSheetId="5">'October 1 2019'!#REF!</definedName>
    <definedName name="OLE_LINK1" localSheetId="7">'October 1 2020'!#REF!</definedName>
    <definedName name="OLE_LINK1" localSheetId="0">'October 2015'!#REF!</definedName>
    <definedName name="_xlnm.Print_Area" localSheetId="6">'March 29 2020'!$A$1:$J$61</definedName>
    <definedName name="_xlnm.Print_Area" localSheetId="3">'May 13 2018'!$A$1:$J$74</definedName>
    <definedName name="_xlnm.Print_Area" localSheetId="1">'October 1 2016'!$A$1:$J$71</definedName>
    <definedName name="_xlnm.Print_Area" localSheetId="2">'October 1 2017'!$A$1:$J$70</definedName>
    <definedName name="_xlnm.Print_Area" localSheetId="4">'October 1 2018'!$A$1:$J$61</definedName>
    <definedName name="_xlnm.Print_Area" localSheetId="5">'October 1 2019'!$A$1:$J$61</definedName>
    <definedName name="_xlnm.Print_Area" localSheetId="7">'October 1 2020'!$A$1:$J$62</definedName>
    <definedName name="_xlnm.Print_Titles" localSheetId="6">'March 29 2020'!$1:$3</definedName>
    <definedName name="_xlnm.Print_Titles" localSheetId="3">'May 13 2018'!$1:$3</definedName>
    <definedName name="_xlnm.Print_Titles" localSheetId="1">'October 1 2016'!$1:$3</definedName>
    <definedName name="_xlnm.Print_Titles" localSheetId="2">'October 1 2017'!$1:$3</definedName>
    <definedName name="_xlnm.Print_Titles" localSheetId="4">'October 1 2018'!$1:$3</definedName>
    <definedName name="_xlnm.Print_Titles" localSheetId="5">'October 1 2019'!$1:$3</definedName>
    <definedName name="_xlnm.Print_Titles" localSheetId="7">'October 1 2020'!$1:$3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3" i="31" l="1"/>
  <c r="O50" i="31"/>
  <c r="O51" i="31"/>
  <c r="O52" i="31"/>
  <c r="E51" i="29"/>
  <c r="U20" i="32" l="1"/>
  <c r="T20" i="32"/>
  <c r="A20" i="32"/>
  <c r="O20" i="32"/>
  <c r="A20" i="31"/>
  <c r="Q20" i="31"/>
  <c r="O20" i="31"/>
  <c r="T20" i="30"/>
  <c r="Q20" i="30"/>
  <c r="A20" i="30"/>
  <c r="A18" i="30"/>
  <c r="A47" i="32"/>
  <c r="A47" i="31"/>
  <c r="A47" i="30"/>
  <c r="U15" i="32"/>
  <c r="U16" i="32"/>
  <c r="U17" i="32"/>
  <c r="U22" i="32"/>
  <c r="U23" i="32"/>
  <c r="U27" i="32"/>
  <c r="U28" i="32"/>
  <c r="U29" i="32"/>
  <c r="U30" i="32"/>
  <c r="U32" i="32"/>
  <c r="U33" i="32"/>
  <c r="U34" i="32"/>
  <c r="U36" i="32"/>
  <c r="U37" i="32"/>
  <c r="U39" i="32"/>
  <c r="U40" i="32"/>
  <c r="U42" i="32"/>
  <c r="U44" i="32"/>
  <c r="U45" i="32"/>
  <c r="U47" i="32"/>
  <c r="U48" i="32"/>
  <c r="U49" i="32"/>
  <c r="U54" i="32"/>
  <c r="U55" i="32"/>
  <c r="U56" i="32"/>
  <c r="U59" i="32"/>
  <c r="U60" i="32"/>
  <c r="U61" i="32"/>
  <c r="U62" i="32"/>
  <c r="U63" i="32"/>
  <c r="U64" i="32"/>
  <c r="U22" i="31"/>
  <c r="U23" i="31"/>
  <c r="U27" i="31"/>
  <c r="U28" i="31"/>
  <c r="U29" i="31"/>
  <c r="U30" i="31"/>
  <c r="U32" i="31"/>
  <c r="U33" i="31"/>
  <c r="U34" i="31"/>
  <c r="U36" i="31"/>
  <c r="U37" i="31"/>
  <c r="U39" i="31"/>
  <c r="U40" i="31"/>
  <c r="U42" i="31"/>
  <c r="U44" i="31"/>
  <c r="U45" i="31"/>
  <c r="U47" i="31"/>
  <c r="U48" i="31"/>
  <c r="U49" i="31"/>
  <c r="U54" i="31"/>
  <c r="U55" i="31"/>
  <c r="U56" i="31"/>
  <c r="U59" i="31"/>
  <c r="U60" i="31"/>
  <c r="U61" i="31"/>
  <c r="U62" i="31"/>
  <c r="U63" i="31"/>
  <c r="U64" i="31"/>
  <c r="U15" i="31"/>
  <c r="U16" i="31"/>
  <c r="U17" i="31"/>
  <c r="O67" i="30"/>
  <c r="O68" i="30"/>
  <c r="O66" i="30"/>
  <c r="O52" i="30"/>
  <c r="O53" i="30"/>
  <c r="O51" i="30"/>
  <c r="O26" i="30"/>
  <c r="T26" i="30" s="1"/>
  <c r="O25" i="30"/>
  <c r="T25" i="30" s="1"/>
  <c r="O24" i="30"/>
  <c r="T24" i="30" s="1"/>
  <c r="O19" i="30"/>
  <c r="T19" i="30" s="1"/>
  <c r="O18" i="30"/>
  <c r="T18" i="30" s="1"/>
  <c r="T20" i="31" l="1"/>
  <c r="S67" i="32"/>
  <c r="R67" i="32"/>
  <c r="Q67" i="32"/>
  <c r="S66" i="32"/>
  <c r="R66" i="32"/>
  <c r="Q66" i="32"/>
  <c r="S65" i="32"/>
  <c r="R65" i="32"/>
  <c r="Q65" i="32"/>
  <c r="S58" i="32"/>
  <c r="R58" i="32"/>
  <c r="Q58" i="32"/>
  <c r="S57" i="32"/>
  <c r="R57" i="32"/>
  <c r="Q57" i="32"/>
  <c r="S53" i="32"/>
  <c r="R53" i="32"/>
  <c r="Q53" i="32"/>
  <c r="S52" i="32"/>
  <c r="R52" i="32"/>
  <c r="Q52" i="32"/>
  <c r="S51" i="32"/>
  <c r="R51" i="32"/>
  <c r="Q51" i="32"/>
  <c r="S50" i="32"/>
  <c r="R50" i="32"/>
  <c r="Q50" i="32"/>
  <c r="S46" i="32"/>
  <c r="R46" i="32"/>
  <c r="Q46" i="32"/>
  <c r="T46" i="32"/>
  <c r="S43" i="32"/>
  <c r="R43" i="32"/>
  <c r="Q43" i="32"/>
  <c r="A43" i="32"/>
  <c r="S41" i="32"/>
  <c r="R41" i="32"/>
  <c r="Q41" i="32"/>
  <c r="S38" i="32"/>
  <c r="R38" i="32"/>
  <c r="Q38" i="32"/>
  <c r="S35" i="32"/>
  <c r="R35" i="32"/>
  <c r="Q35" i="32"/>
  <c r="S31" i="32"/>
  <c r="R31" i="32"/>
  <c r="Q31" i="32"/>
  <c r="S26" i="32"/>
  <c r="R26" i="32"/>
  <c r="Q26" i="32"/>
  <c r="S25" i="32"/>
  <c r="R25" i="32"/>
  <c r="Q25" i="32"/>
  <c r="S24" i="32"/>
  <c r="R24" i="32"/>
  <c r="Q24" i="32"/>
  <c r="S19" i="32"/>
  <c r="R19" i="32"/>
  <c r="Q19" i="32"/>
  <c r="S18" i="32"/>
  <c r="R18" i="32"/>
  <c r="Q18" i="32"/>
  <c r="S14" i="32"/>
  <c r="Q14" i="32"/>
  <c r="M14" i="32"/>
  <c r="S13" i="32"/>
  <c r="Q13" i="32"/>
  <c r="M13" i="32"/>
  <c r="R13" i="32" s="1"/>
  <c r="S12" i="32"/>
  <c r="Q12" i="32"/>
  <c r="M12" i="32"/>
  <c r="R12" i="32" s="1"/>
  <c r="S11" i="32"/>
  <c r="Q11" i="32"/>
  <c r="M11" i="32"/>
  <c r="S10" i="32"/>
  <c r="Q10" i="32"/>
  <c r="M10" i="32"/>
  <c r="R10" i="32" s="1"/>
  <c r="S9" i="32"/>
  <c r="Q9" i="32"/>
  <c r="M9" i="32"/>
  <c r="R9" i="32" s="1"/>
  <c r="S8" i="32"/>
  <c r="Q8" i="32"/>
  <c r="M8" i="32"/>
  <c r="S67" i="31"/>
  <c r="R67" i="31"/>
  <c r="Q67" i="31"/>
  <c r="S66" i="31"/>
  <c r="R66" i="31"/>
  <c r="Q66" i="31"/>
  <c r="S65" i="31"/>
  <c r="R65" i="31"/>
  <c r="Q65" i="31"/>
  <c r="S58" i="31"/>
  <c r="R58" i="31"/>
  <c r="Q58" i="31"/>
  <c r="S57" i="31"/>
  <c r="R57" i="31"/>
  <c r="Q57" i="31"/>
  <c r="S53" i="31"/>
  <c r="R53" i="31"/>
  <c r="Q53" i="31"/>
  <c r="S52" i="31"/>
  <c r="R52" i="31"/>
  <c r="Q52" i="31"/>
  <c r="S51" i="31"/>
  <c r="R51" i="31"/>
  <c r="Q51" i="31"/>
  <c r="S50" i="31"/>
  <c r="R50" i="31"/>
  <c r="Q50" i="31"/>
  <c r="S46" i="31"/>
  <c r="R46" i="31"/>
  <c r="Q46" i="31"/>
  <c r="S43" i="31"/>
  <c r="R43" i="31"/>
  <c r="Q43" i="31"/>
  <c r="A43" i="31"/>
  <c r="S41" i="31"/>
  <c r="R41" i="31"/>
  <c r="Q41" i="31"/>
  <c r="S38" i="31"/>
  <c r="R38" i="31"/>
  <c r="Q38" i="31"/>
  <c r="S35" i="31"/>
  <c r="R35" i="31"/>
  <c r="Q35" i="31"/>
  <c r="S31" i="31"/>
  <c r="R31" i="31"/>
  <c r="Q31" i="31"/>
  <c r="S26" i="31"/>
  <c r="R26" i="31"/>
  <c r="Q26" i="31"/>
  <c r="S25" i="31"/>
  <c r="R25" i="31"/>
  <c r="Q25" i="31"/>
  <c r="S24" i="31"/>
  <c r="R24" i="31"/>
  <c r="Q24" i="31"/>
  <c r="S19" i="31"/>
  <c r="R19" i="31"/>
  <c r="Q19" i="31"/>
  <c r="S18" i="31"/>
  <c r="R18" i="31"/>
  <c r="Q18" i="31"/>
  <c r="S14" i="31"/>
  <c r="Q14" i="31"/>
  <c r="M14" i="31"/>
  <c r="S13" i="31"/>
  <c r="Q13" i="31"/>
  <c r="M13" i="31"/>
  <c r="R13" i="31" s="1"/>
  <c r="S12" i="31"/>
  <c r="Q12" i="31"/>
  <c r="M12" i="31"/>
  <c r="R12" i="31" s="1"/>
  <c r="S11" i="31"/>
  <c r="Q11" i="31"/>
  <c r="M11" i="31"/>
  <c r="S10" i="31"/>
  <c r="Q10" i="31"/>
  <c r="M10" i="31"/>
  <c r="R10" i="31" s="1"/>
  <c r="S9" i="31"/>
  <c r="Q9" i="31"/>
  <c r="M9" i="31"/>
  <c r="R9" i="31" s="1"/>
  <c r="S8" i="31"/>
  <c r="Q8" i="31"/>
  <c r="M8" i="31"/>
  <c r="O9" i="29"/>
  <c r="S68" i="30"/>
  <c r="R68" i="30"/>
  <c r="Q68" i="30"/>
  <c r="S67" i="30"/>
  <c r="R67" i="30"/>
  <c r="Q67" i="30"/>
  <c r="S66" i="30"/>
  <c r="R66" i="30"/>
  <c r="Q66" i="30"/>
  <c r="S59" i="30"/>
  <c r="R59" i="30"/>
  <c r="Q59" i="30"/>
  <c r="T59" i="30"/>
  <c r="S58" i="30"/>
  <c r="R58" i="30"/>
  <c r="Q58" i="30"/>
  <c r="A58" i="30"/>
  <c r="S54" i="30"/>
  <c r="R54" i="30"/>
  <c r="Q54" i="30"/>
  <c r="S53" i="30"/>
  <c r="R53" i="30"/>
  <c r="Q53" i="30"/>
  <c r="S52" i="30"/>
  <c r="R52" i="30"/>
  <c r="Q52" i="30"/>
  <c r="S51" i="30"/>
  <c r="R51" i="30"/>
  <c r="Q51" i="30"/>
  <c r="S46" i="30"/>
  <c r="R46" i="30"/>
  <c r="Q46" i="30"/>
  <c r="T46" i="30"/>
  <c r="S43" i="30"/>
  <c r="R43" i="30"/>
  <c r="Q43" i="30"/>
  <c r="A43" i="30"/>
  <c r="S41" i="30"/>
  <c r="R41" i="30"/>
  <c r="Q41" i="30"/>
  <c r="S38" i="30"/>
  <c r="R38" i="30"/>
  <c r="Q38" i="30"/>
  <c r="S35" i="30"/>
  <c r="R35" i="30"/>
  <c r="Q35" i="30"/>
  <c r="S31" i="30"/>
  <c r="R31" i="30"/>
  <c r="Q31" i="30"/>
  <c r="S26" i="30"/>
  <c r="R26" i="30"/>
  <c r="Q26" i="30"/>
  <c r="S25" i="30"/>
  <c r="R25" i="30"/>
  <c r="Q25" i="30"/>
  <c r="S24" i="30"/>
  <c r="R24" i="30"/>
  <c r="Q24" i="30"/>
  <c r="S19" i="30"/>
  <c r="R19" i="30"/>
  <c r="Q19" i="30"/>
  <c r="S18" i="30"/>
  <c r="R18" i="30"/>
  <c r="Q18" i="30"/>
  <c r="S14" i="30"/>
  <c r="Q14" i="30"/>
  <c r="M14" i="30"/>
  <c r="S13" i="30"/>
  <c r="Q13" i="30"/>
  <c r="M13" i="30"/>
  <c r="R13" i="30" s="1"/>
  <c r="S12" i="30"/>
  <c r="Q12" i="30"/>
  <c r="M12" i="30"/>
  <c r="R12" i="30" s="1"/>
  <c r="S11" i="30"/>
  <c r="Q11" i="30"/>
  <c r="M11" i="30"/>
  <c r="R11" i="30" s="1"/>
  <c r="S10" i="30"/>
  <c r="Q10" i="30"/>
  <c r="M10" i="30"/>
  <c r="R10" i="30" s="1"/>
  <c r="S9" i="30"/>
  <c r="Q9" i="30"/>
  <c r="M9" i="30"/>
  <c r="O9" i="30" s="1"/>
  <c r="S8" i="30"/>
  <c r="Q8" i="30"/>
  <c r="M8" i="30"/>
  <c r="R8" i="30" s="1"/>
  <c r="U20" i="31" l="1"/>
  <c r="O8" i="30"/>
  <c r="T8" i="30" s="1"/>
  <c r="O58" i="31"/>
  <c r="T58" i="31" s="1"/>
  <c r="U58" i="31" s="1"/>
  <c r="O57" i="31"/>
  <c r="T57" i="31" s="1"/>
  <c r="O53" i="32"/>
  <c r="O46" i="31"/>
  <c r="T46" i="31" s="1"/>
  <c r="R8" i="32"/>
  <c r="R11" i="32"/>
  <c r="R14" i="32"/>
  <c r="A46" i="32"/>
  <c r="O9" i="31"/>
  <c r="O9" i="32" s="1"/>
  <c r="T9" i="32" s="1"/>
  <c r="R8" i="31"/>
  <c r="R11" i="31"/>
  <c r="R14" i="31"/>
  <c r="H8" i="30"/>
  <c r="T58" i="30"/>
  <c r="H9" i="30"/>
  <c r="T9" i="30"/>
  <c r="R14" i="30"/>
  <c r="R9" i="30"/>
  <c r="A46" i="30"/>
  <c r="A59" i="30"/>
  <c r="H8" i="29"/>
  <c r="M11" i="29"/>
  <c r="M8" i="29"/>
  <c r="S8" i="29"/>
  <c r="Q8" i="29"/>
  <c r="R8" i="29"/>
  <c r="S8" i="28"/>
  <c r="Q8" i="28"/>
  <c r="M8" i="28"/>
  <c r="S66" i="29"/>
  <c r="R66" i="29"/>
  <c r="Q66" i="29"/>
  <c r="S65" i="29"/>
  <c r="R65" i="29"/>
  <c r="Q65" i="29"/>
  <c r="S64" i="29"/>
  <c r="R64" i="29"/>
  <c r="Q64" i="29"/>
  <c r="S57" i="29"/>
  <c r="R57" i="29"/>
  <c r="Q57" i="29"/>
  <c r="S56" i="29"/>
  <c r="R56" i="29"/>
  <c r="Q56" i="29"/>
  <c r="S52" i="29"/>
  <c r="R52" i="29"/>
  <c r="Q52" i="29"/>
  <c r="S51" i="29"/>
  <c r="R51" i="29"/>
  <c r="Q51" i="29"/>
  <c r="S50" i="29"/>
  <c r="R50" i="29"/>
  <c r="Q50" i="29"/>
  <c r="S49" i="29"/>
  <c r="R49" i="29"/>
  <c r="Q49" i="29"/>
  <c r="S45" i="29"/>
  <c r="R45" i="29"/>
  <c r="Q45" i="29"/>
  <c r="S42" i="29"/>
  <c r="R42" i="29"/>
  <c r="Q42" i="29"/>
  <c r="A42" i="29"/>
  <c r="S40" i="29"/>
  <c r="R40" i="29"/>
  <c r="Q40" i="29"/>
  <c r="S37" i="29"/>
  <c r="R37" i="29"/>
  <c r="Q37" i="29"/>
  <c r="S34" i="29"/>
  <c r="R34" i="29"/>
  <c r="Q34" i="29"/>
  <c r="S30" i="29"/>
  <c r="R30" i="29"/>
  <c r="Q30" i="29"/>
  <c r="S25" i="29"/>
  <c r="R25" i="29"/>
  <c r="Q25" i="29"/>
  <c r="S24" i="29"/>
  <c r="R24" i="29"/>
  <c r="Q24" i="29"/>
  <c r="S23" i="29"/>
  <c r="R23" i="29"/>
  <c r="Q23" i="29"/>
  <c r="S19" i="29"/>
  <c r="R19" i="29"/>
  <c r="Q19" i="29"/>
  <c r="S18" i="29"/>
  <c r="R18" i="29"/>
  <c r="Q18" i="29"/>
  <c r="S14" i="29"/>
  <c r="Q14" i="29"/>
  <c r="M14" i="29"/>
  <c r="R14" i="29" s="1"/>
  <c r="S13" i="29"/>
  <c r="Q13" i="29"/>
  <c r="M13" i="29"/>
  <c r="R13" i="29" s="1"/>
  <c r="S12" i="29"/>
  <c r="Q12" i="29"/>
  <c r="M12" i="29"/>
  <c r="R12" i="29" s="1"/>
  <c r="S11" i="29"/>
  <c r="Q11" i="29"/>
  <c r="R11" i="29"/>
  <c r="S10" i="29"/>
  <c r="Q10" i="29"/>
  <c r="M10" i="29"/>
  <c r="R10" i="29" s="1"/>
  <c r="S9" i="29"/>
  <c r="Q9" i="29"/>
  <c r="M9" i="29"/>
  <c r="R9" i="29" s="1"/>
  <c r="O2" i="28"/>
  <c r="U57" i="31" l="1"/>
  <c r="O8" i="31"/>
  <c r="H8" i="31" s="1"/>
  <c r="U46" i="32"/>
  <c r="U46" i="31"/>
  <c r="O57" i="32"/>
  <c r="T57" i="32" s="1"/>
  <c r="U57" i="32" s="1"/>
  <c r="A58" i="31"/>
  <c r="A46" i="31"/>
  <c r="A57" i="31"/>
  <c r="O58" i="32"/>
  <c r="T58" i="32" s="1"/>
  <c r="U58" i="32" s="1"/>
  <c r="H9" i="32"/>
  <c r="T9" i="31"/>
  <c r="U9" i="31" s="1"/>
  <c r="H9" i="31"/>
  <c r="T8" i="29"/>
  <c r="R8" i="28"/>
  <c r="T8" i="28"/>
  <c r="S66" i="28"/>
  <c r="R66" i="28"/>
  <c r="Q66" i="28"/>
  <c r="S65" i="28"/>
  <c r="R65" i="28"/>
  <c r="Q65" i="28"/>
  <c r="S64" i="28"/>
  <c r="R64" i="28"/>
  <c r="Q64" i="28"/>
  <c r="T57" i="28"/>
  <c r="S57" i="28"/>
  <c r="R57" i="28"/>
  <c r="Q57" i="28"/>
  <c r="T56" i="28"/>
  <c r="S56" i="28"/>
  <c r="R56" i="28"/>
  <c r="Q56" i="28"/>
  <c r="S52" i="28"/>
  <c r="R52" i="28"/>
  <c r="Q52" i="28"/>
  <c r="S51" i="28"/>
  <c r="R51" i="28"/>
  <c r="Q51" i="28"/>
  <c r="S50" i="28"/>
  <c r="R50" i="28"/>
  <c r="Q50" i="28"/>
  <c r="S49" i="28"/>
  <c r="R49" i="28"/>
  <c r="Q49" i="28"/>
  <c r="T45" i="28"/>
  <c r="S45" i="28"/>
  <c r="R45" i="28"/>
  <c r="Q45" i="28"/>
  <c r="S42" i="28"/>
  <c r="R42" i="28"/>
  <c r="Q42" i="28"/>
  <c r="S40" i="28"/>
  <c r="R40" i="28"/>
  <c r="Q40" i="28"/>
  <c r="S37" i="28"/>
  <c r="R37" i="28"/>
  <c r="Q37" i="28"/>
  <c r="S34" i="28"/>
  <c r="R34" i="28"/>
  <c r="Q34" i="28"/>
  <c r="S30" i="28"/>
  <c r="R30" i="28"/>
  <c r="Q30" i="28"/>
  <c r="S25" i="28"/>
  <c r="R25" i="28"/>
  <c r="Q25" i="28"/>
  <c r="S24" i="28"/>
  <c r="R24" i="28"/>
  <c r="Q24" i="28"/>
  <c r="S23" i="28"/>
  <c r="R23" i="28"/>
  <c r="Q23" i="28"/>
  <c r="S19" i="28"/>
  <c r="R19" i="28"/>
  <c r="Q19" i="28"/>
  <c r="S18" i="28"/>
  <c r="R18" i="28"/>
  <c r="Q18" i="28"/>
  <c r="S14" i="28"/>
  <c r="Q14" i="28"/>
  <c r="S13" i="28"/>
  <c r="Q13" i="28"/>
  <c r="S12" i="28"/>
  <c r="Q12" i="28"/>
  <c r="S11" i="28"/>
  <c r="Q11" i="28"/>
  <c r="S10" i="28"/>
  <c r="Q10" i="28"/>
  <c r="S9" i="28"/>
  <c r="Q9" i="28"/>
  <c r="S65" i="27"/>
  <c r="R65" i="27"/>
  <c r="Q65" i="27"/>
  <c r="S64" i="27"/>
  <c r="R64" i="27"/>
  <c r="Q64" i="27"/>
  <c r="S63" i="27"/>
  <c r="R63" i="27"/>
  <c r="Q63" i="27"/>
  <c r="T56" i="27"/>
  <c r="S56" i="27"/>
  <c r="R56" i="27"/>
  <c r="Q56" i="27"/>
  <c r="T55" i="27"/>
  <c r="S55" i="27"/>
  <c r="R55" i="27"/>
  <c r="Q55" i="27"/>
  <c r="S51" i="27"/>
  <c r="R51" i="27"/>
  <c r="Q51" i="27"/>
  <c r="S50" i="27"/>
  <c r="R50" i="27"/>
  <c r="Q50" i="27"/>
  <c r="S49" i="27"/>
  <c r="R49" i="27"/>
  <c r="Q49" i="27"/>
  <c r="S48" i="27"/>
  <c r="R48" i="27"/>
  <c r="Q48" i="27"/>
  <c r="T44" i="27"/>
  <c r="S44" i="27"/>
  <c r="R44" i="27"/>
  <c r="Q44" i="27"/>
  <c r="S41" i="27"/>
  <c r="R41" i="27"/>
  <c r="Q41" i="27"/>
  <c r="S39" i="27"/>
  <c r="R39" i="27"/>
  <c r="Q39" i="27"/>
  <c r="S36" i="27"/>
  <c r="R36" i="27"/>
  <c r="Q36" i="27"/>
  <c r="S33" i="27"/>
  <c r="R33" i="27"/>
  <c r="Q33" i="27"/>
  <c r="S29" i="27"/>
  <c r="R29" i="27"/>
  <c r="Q29" i="27"/>
  <c r="S24" i="27"/>
  <c r="R24" i="27"/>
  <c r="Q24" i="27"/>
  <c r="S23" i="27"/>
  <c r="R23" i="27"/>
  <c r="Q23" i="27"/>
  <c r="S22" i="27"/>
  <c r="R22" i="27"/>
  <c r="Q22" i="27"/>
  <c r="S18" i="27"/>
  <c r="R18" i="27"/>
  <c r="Q18" i="27"/>
  <c r="S17" i="27"/>
  <c r="R17" i="27"/>
  <c r="Q17" i="27"/>
  <c r="S13" i="27"/>
  <c r="Q13" i="27"/>
  <c r="S12" i="27"/>
  <c r="Q12" i="27"/>
  <c r="S11" i="27"/>
  <c r="Q11" i="27"/>
  <c r="S10" i="27"/>
  <c r="Q10" i="27"/>
  <c r="S9" i="27"/>
  <c r="Q9" i="27"/>
  <c r="S8" i="27"/>
  <c r="Q8" i="27"/>
  <c r="S65" i="25"/>
  <c r="R65" i="25"/>
  <c r="Q65" i="25"/>
  <c r="S64" i="25"/>
  <c r="R64" i="25"/>
  <c r="Q64" i="25"/>
  <c r="S63" i="25"/>
  <c r="R63" i="25"/>
  <c r="Q63" i="25"/>
  <c r="T56" i="25"/>
  <c r="S56" i="25"/>
  <c r="R56" i="25"/>
  <c r="Q56" i="25"/>
  <c r="T55" i="25"/>
  <c r="S55" i="25"/>
  <c r="R55" i="25"/>
  <c r="Q55" i="25"/>
  <c r="S51" i="25"/>
  <c r="R51" i="25"/>
  <c r="Q51" i="25"/>
  <c r="S50" i="25"/>
  <c r="R50" i="25"/>
  <c r="Q50" i="25"/>
  <c r="S49" i="25"/>
  <c r="R49" i="25"/>
  <c r="Q49" i="25"/>
  <c r="S48" i="25"/>
  <c r="R48" i="25"/>
  <c r="Q48" i="25"/>
  <c r="T44" i="25"/>
  <c r="S44" i="25"/>
  <c r="R44" i="25"/>
  <c r="Q44" i="25"/>
  <c r="S41" i="25"/>
  <c r="R41" i="25"/>
  <c r="Q41" i="25"/>
  <c r="S39" i="25"/>
  <c r="R39" i="25"/>
  <c r="Q39" i="25"/>
  <c r="S36" i="25"/>
  <c r="R36" i="25"/>
  <c r="Q36" i="25"/>
  <c r="S33" i="25"/>
  <c r="R33" i="25"/>
  <c r="Q33" i="25"/>
  <c r="S29" i="25"/>
  <c r="R29" i="25"/>
  <c r="Q29" i="25"/>
  <c r="S24" i="25"/>
  <c r="R24" i="25"/>
  <c r="Q24" i="25"/>
  <c r="S23" i="25"/>
  <c r="R23" i="25"/>
  <c r="Q23" i="25"/>
  <c r="S22" i="25"/>
  <c r="R22" i="25"/>
  <c r="Q22" i="25"/>
  <c r="S18" i="25"/>
  <c r="R18" i="25"/>
  <c r="Q18" i="25"/>
  <c r="S17" i="25"/>
  <c r="R17" i="25"/>
  <c r="Q17" i="25"/>
  <c r="Q9" i="25"/>
  <c r="S9" i="25"/>
  <c r="Q10" i="25"/>
  <c r="S10" i="25"/>
  <c r="Q11" i="25"/>
  <c r="S11" i="25"/>
  <c r="Q12" i="25"/>
  <c r="S12" i="25"/>
  <c r="Q13" i="25"/>
  <c r="S13" i="25"/>
  <c r="S8" i="25"/>
  <c r="Q8" i="25"/>
  <c r="O29" i="25"/>
  <c r="T29" i="25" s="1"/>
  <c r="O33" i="25"/>
  <c r="T33" i="25" s="1"/>
  <c r="O36" i="25"/>
  <c r="T36" i="25" s="1"/>
  <c r="O39" i="25"/>
  <c r="T39" i="25" s="1"/>
  <c r="O41" i="25"/>
  <c r="T41" i="25" s="1"/>
  <c r="T8" i="31" l="1"/>
  <c r="U8" i="31" s="1"/>
  <c r="O8" i="32"/>
  <c r="T8" i="32" s="1"/>
  <c r="U9" i="32"/>
  <c r="A57" i="32"/>
  <c r="A58" i="32"/>
  <c r="A57" i="28"/>
  <c r="A56" i="28"/>
  <c r="A45" i="28"/>
  <c r="A42" i="28"/>
  <c r="M14" i="28"/>
  <c r="R14" i="28" s="1"/>
  <c r="M13" i="28"/>
  <c r="R13" i="28" s="1"/>
  <c r="M12" i="28"/>
  <c r="R12" i="28" s="1"/>
  <c r="M11" i="28"/>
  <c r="R11" i="28" s="1"/>
  <c r="M10" i="28"/>
  <c r="R10" i="28" s="1"/>
  <c r="M9" i="28"/>
  <c r="A56" i="27"/>
  <c r="A55" i="27"/>
  <c r="A44" i="27"/>
  <c r="A41" i="27"/>
  <c r="M13" i="27"/>
  <c r="M12" i="27"/>
  <c r="M11" i="27"/>
  <c r="M10" i="27"/>
  <c r="M9" i="27"/>
  <c r="M8" i="27"/>
  <c r="A44" i="25"/>
  <c r="A42" i="25"/>
  <c r="A39" i="25"/>
  <c r="A36" i="25"/>
  <c r="A33" i="25"/>
  <c r="A29" i="25"/>
  <c r="A41" i="25"/>
  <c r="A56" i="25"/>
  <c r="A55" i="25"/>
  <c r="U8" i="32" l="1"/>
  <c r="H8" i="32"/>
  <c r="R9" i="28"/>
  <c r="O57" i="29"/>
  <c r="O56" i="29"/>
  <c r="O45" i="29"/>
  <c r="R9" i="27"/>
  <c r="R11" i="27"/>
  <c r="R8" i="27"/>
  <c r="R13" i="27"/>
  <c r="R10" i="27"/>
  <c r="R12" i="27"/>
  <c r="M13" i="25"/>
  <c r="M12" i="25"/>
  <c r="M11" i="25"/>
  <c r="M10" i="25"/>
  <c r="M9" i="25"/>
  <c r="M8" i="25"/>
  <c r="A56" i="29" l="1"/>
  <c r="T56" i="29"/>
  <c r="A57" i="29"/>
  <c r="T57" i="29"/>
  <c r="A45" i="29"/>
  <c r="T45" i="29"/>
  <c r="R9" i="25"/>
  <c r="R10" i="25"/>
  <c r="R11" i="25"/>
  <c r="R8" i="25"/>
  <c r="O39" i="27"/>
  <c r="O36" i="27"/>
  <c r="O41" i="27"/>
  <c r="O33" i="27"/>
  <c r="O29" i="27"/>
  <c r="R13" i="25"/>
  <c r="R12" i="25"/>
  <c r="N63" i="22"/>
  <c r="O64" i="25" s="1"/>
  <c r="T64" i="25" s="1"/>
  <c r="N64" i="22"/>
  <c r="O65" i="25" s="1"/>
  <c r="T65" i="25" s="1"/>
  <c r="N62" i="22"/>
  <c r="O63" i="25" s="1"/>
  <c r="T63" i="25" s="1"/>
  <c r="O65" i="27" l="1"/>
  <c r="O64" i="27"/>
  <c r="T64" i="27" s="1"/>
  <c r="O63" i="27"/>
  <c r="T39" i="27"/>
  <c r="A39" i="27"/>
  <c r="O40" i="28"/>
  <c r="A29" i="27"/>
  <c r="T29" i="27"/>
  <c r="O30" i="28"/>
  <c r="T33" i="27"/>
  <c r="A33" i="27"/>
  <c r="O34" i="28"/>
  <c r="T41" i="27"/>
  <c r="O42" i="28"/>
  <c r="A42" i="27"/>
  <c r="T63" i="27"/>
  <c r="O64" i="28"/>
  <c r="T65" i="27"/>
  <c r="O66" i="28"/>
  <c r="A36" i="27"/>
  <c r="T36" i="27"/>
  <c r="O37" i="28"/>
  <c r="N64" i="21"/>
  <c r="O35" i="32" l="1"/>
  <c r="O38" i="32"/>
  <c r="O41" i="32"/>
  <c r="O43" i="32"/>
  <c r="O34" i="29"/>
  <c r="A34" i="29" s="1"/>
  <c r="O35" i="30"/>
  <c r="O35" i="31" s="1"/>
  <c r="A35" i="31" s="1"/>
  <c r="O40" i="29"/>
  <c r="A40" i="29" s="1"/>
  <c r="O41" i="30"/>
  <c r="O41" i="31" s="1"/>
  <c r="T41" i="31" s="1"/>
  <c r="O30" i="29"/>
  <c r="A30" i="29" s="1"/>
  <c r="O31" i="30"/>
  <c r="O31" i="31" s="1"/>
  <c r="O31" i="32" s="1"/>
  <c r="O37" i="29"/>
  <c r="A37" i="29" s="1"/>
  <c r="O38" i="30"/>
  <c r="O38" i="31" s="1"/>
  <c r="A38" i="31" s="1"/>
  <c r="O42" i="29"/>
  <c r="T42" i="29" s="1"/>
  <c r="O43" i="30"/>
  <c r="O43" i="31" s="1"/>
  <c r="A44" i="31" s="1"/>
  <c r="O65" i="28"/>
  <c r="T34" i="29"/>
  <c r="T40" i="29"/>
  <c r="O65" i="29"/>
  <c r="T65" i="29" s="1"/>
  <c r="T64" i="28"/>
  <c r="O64" i="29"/>
  <c r="T64" i="29" s="1"/>
  <c r="T66" i="28"/>
  <c r="O66" i="29"/>
  <c r="T66" i="29" s="1"/>
  <c r="T34" i="28"/>
  <c r="A34" i="28"/>
  <c r="T30" i="28"/>
  <c r="A30" i="28"/>
  <c r="T37" i="28"/>
  <c r="A37" i="28"/>
  <c r="T42" i="28"/>
  <c r="A43" i="28"/>
  <c r="T40" i="28"/>
  <c r="A40" i="28"/>
  <c r="A51" i="24"/>
  <c r="A52" i="24"/>
  <c r="A53" i="24"/>
  <c r="A50" i="24"/>
  <c r="C24" i="24"/>
  <c r="C22" i="24"/>
  <c r="C20" i="24"/>
  <c r="H9" i="24"/>
  <c r="H8" i="24"/>
  <c r="H7" i="24"/>
  <c r="H6" i="24"/>
  <c r="H5" i="24"/>
  <c r="T68" i="30" l="1"/>
  <c r="O67" i="31"/>
  <c r="T38" i="31"/>
  <c r="T35" i="31"/>
  <c r="T43" i="31"/>
  <c r="T66" i="30"/>
  <c r="O65" i="31"/>
  <c r="T31" i="31"/>
  <c r="A31" i="31"/>
  <c r="A38" i="32"/>
  <c r="T38" i="32"/>
  <c r="T41" i="32"/>
  <c r="U41" i="32" s="1"/>
  <c r="A41" i="32"/>
  <c r="T37" i="29"/>
  <c r="A41" i="31"/>
  <c r="T35" i="32"/>
  <c r="A35" i="32"/>
  <c r="A44" i="32"/>
  <c r="T43" i="32"/>
  <c r="A31" i="32"/>
  <c r="T31" i="32"/>
  <c r="U31" i="32" s="1"/>
  <c r="A44" i="30"/>
  <c r="T43" i="30"/>
  <c r="A31" i="30"/>
  <c r="T31" i="30"/>
  <c r="A38" i="30"/>
  <c r="T38" i="30"/>
  <c r="T41" i="30"/>
  <c r="A41" i="30"/>
  <c r="T30" i="29"/>
  <c r="T35" i="30"/>
  <c r="A35" i="30"/>
  <c r="A43" i="29"/>
  <c r="T65" i="28"/>
  <c r="G43" i="22"/>
  <c r="G37" i="22"/>
  <c r="A32" i="22"/>
  <c r="G28" i="22"/>
  <c r="N45" i="21"/>
  <c r="N39" i="21"/>
  <c r="N34" i="21"/>
  <c r="N30" i="21"/>
  <c r="L10" i="22"/>
  <c r="L9" i="22"/>
  <c r="L8" i="22"/>
  <c r="L7" i="22"/>
  <c r="L6" i="22"/>
  <c r="L5" i="22"/>
  <c r="U31" i="31" l="1"/>
  <c r="U41" i="31"/>
  <c r="U35" i="31"/>
  <c r="U35" i="32"/>
  <c r="U43" i="32"/>
  <c r="U43" i="31"/>
  <c r="U38" i="32"/>
  <c r="U38" i="31"/>
  <c r="O65" i="32"/>
  <c r="T65" i="32" s="1"/>
  <c r="T65" i="31"/>
  <c r="U65" i="31" s="1"/>
  <c r="O67" i="32"/>
  <c r="T67" i="32" s="1"/>
  <c r="T67" i="31"/>
  <c r="U67" i="31" s="1"/>
  <c r="T67" i="30"/>
  <c r="O66" i="31"/>
  <c r="N6" i="21"/>
  <c r="U67" i="32" l="1"/>
  <c r="U65" i="32"/>
  <c r="O66" i="32"/>
  <c r="T66" i="32" s="1"/>
  <c r="T66" i="31"/>
  <c r="U66" i="31" s="1"/>
  <c r="L6" i="21"/>
  <c r="L7" i="21"/>
  <c r="L8" i="21"/>
  <c r="L9" i="21"/>
  <c r="L10" i="21"/>
  <c r="L5" i="21"/>
  <c r="U66" i="32" l="1"/>
  <c r="N14" i="22"/>
  <c r="O17" i="25" s="1"/>
  <c r="N15" i="22"/>
  <c r="O18" i="25" s="1"/>
  <c r="A51" i="20"/>
  <c r="A52" i="20"/>
  <c r="A53" i="20"/>
  <c r="A50" i="20"/>
  <c r="T18" i="25" l="1"/>
  <c r="O18" i="27"/>
  <c r="T17" i="25"/>
  <c r="O17" i="27"/>
  <c r="A14" i="22"/>
  <c r="A54" i="21"/>
  <c r="A53" i="21"/>
  <c r="A51" i="21"/>
  <c r="A52" i="21"/>
  <c r="H9" i="17"/>
  <c r="H9" i="20" s="1"/>
  <c r="H8" i="17"/>
  <c r="H8" i="20" s="1"/>
  <c r="T18" i="27" l="1"/>
  <c r="O19" i="28"/>
  <c r="T17" i="27"/>
  <c r="O18" i="28"/>
  <c r="A17" i="27"/>
  <c r="A51" i="22"/>
  <c r="N53" i="21"/>
  <c r="N51" i="22" s="1"/>
  <c r="O50" i="25" s="1"/>
  <c r="A50" i="22"/>
  <c r="N52" i="21"/>
  <c r="N50" i="22" s="1"/>
  <c r="O49" i="25" s="1"/>
  <c r="A49" i="22"/>
  <c r="N51" i="21"/>
  <c r="N49" i="22" s="1"/>
  <c r="O48" i="25" s="1"/>
  <c r="A52" i="22"/>
  <c r="N54" i="21"/>
  <c r="N52" i="22" s="1"/>
  <c r="O51" i="25" s="1"/>
  <c r="H9" i="21"/>
  <c r="N9" i="21" s="1"/>
  <c r="N9" i="22" s="1"/>
  <c r="O12" i="25" s="1"/>
  <c r="H10" i="21"/>
  <c r="N10" i="21" s="1"/>
  <c r="N10" i="22" s="1"/>
  <c r="O13" i="25" s="1"/>
  <c r="J19" i="13"/>
  <c r="I18" i="13"/>
  <c r="H17" i="13"/>
  <c r="O18" i="31" l="1"/>
  <c r="O19" i="31"/>
  <c r="T18" i="28"/>
  <c r="O18" i="29"/>
  <c r="T18" i="29" s="1"/>
  <c r="T19" i="28"/>
  <c r="O19" i="29"/>
  <c r="T19" i="29" s="1"/>
  <c r="T12" i="25"/>
  <c r="O12" i="27"/>
  <c r="T49" i="25"/>
  <c r="O49" i="27"/>
  <c r="T51" i="25"/>
  <c r="O51" i="27"/>
  <c r="A18" i="28"/>
  <c r="T48" i="25"/>
  <c r="O48" i="27"/>
  <c r="T50" i="25"/>
  <c r="O50" i="27"/>
  <c r="T13" i="25"/>
  <c r="O13" i="27"/>
  <c r="H10" i="22"/>
  <c r="H9" i="22"/>
  <c r="N6" i="22"/>
  <c r="O9" i="25" s="1"/>
  <c r="H15" i="16"/>
  <c r="H16" i="18"/>
  <c r="I16" i="16"/>
  <c r="I17" i="18"/>
  <c r="J17" i="16"/>
  <c r="J18" i="18"/>
  <c r="H7" i="13"/>
  <c r="H6" i="13"/>
  <c r="H5" i="13"/>
  <c r="C39" i="13"/>
  <c r="C37" i="13"/>
  <c r="C35" i="13"/>
  <c r="O18" i="32" l="1"/>
  <c r="A18" i="32" s="1"/>
  <c r="T18" i="31"/>
  <c r="O19" i="32"/>
  <c r="T19" i="32" s="1"/>
  <c r="T19" i="31"/>
  <c r="U19" i="31" s="1"/>
  <c r="A18" i="31"/>
  <c r="A18" i="29"/>
  <c r="O51" i="28"/>
  <c r="T50" i="27"/>
  <c r="O52" i="28"/>
  <c r="T51" i="27"/>
  <c r="T9" i="25"/>
  <c r="O9" i="27"/>
  <c r="T49" i="27"/>
  <c r="O50" i="28"/>
  <c r="T48" i="27"/>
  <c r="O49" i="28"/>
  <c r="T13" i="27"/>
  <c r="T12" i="27"/>
  <c r="O13" i="28"/>
  <c r="H13" i="27"/>
  <c r="A50" i="25"/>
  <c r="A50" i="27"/>
  <c r="A48" i="25"/>
  <c r="A48" i="27"/>
  <c r="A51" i="25"/>
  <c r="A51" i="27"/>
  <c r="A49" i="25"/>
  <c r="A49" i="27"/>
  <c r="H12" i="27"/>
  <c r="H6" i="22"/>
  <c r="H6" i="16"/>
  <c r="H6" i="17" s="1"/>
  <c r="H6" i="20" s="1"/>
  <c r="H6" i="18"/>
  <c r="C37" i="16"/>
  <c r="C24" i="17" s="1"/>
  <c r="C24" i="20" s="1"/>
  <c r="C38" i="18"/>
  <c r="H7" i="16"/>
  <c r="H7" i="17" s="1"/>
  <c r="H7" i="20" s="1"/>
  <c r="H7" i="18"/>
  <c r="C33" i="16"/>
  <c r="C20" i="17" s="1"/>
  <c r="C20" i="20" s="1"/>
  <c r="C34" i="18"/>
  <c r="C35" i="16"/>
  <c r="C22" i="17" s="1"/>
  <c r="C22" i="20" s="1"/>
  <c r="C36" i="18"/>
  <c r="H5" i="16"/>
  <c r="H5" i="17" s="1"/>
  <c r="H5" i="20" s="1"/>
  <c r="H5" i="18"/>
  <c r="T18" i="32" l="1"/>
  <c r="U18" i="32" s="1"/>
  <c r="U18" i="31"/>
  <c r="U19" i="32"/>
  <c r="T53" i="31"/>
  <c r="A53" i="31"/>
  <c r="O50" i="32"/>
  <c r="O51" i="32"/>
  <c r="O52" i="32"/>
  <c r="T13" i="28"/>
  <c r="O13" i="29"/>
  <c r="T14" i="28"/>
  <c r="O14" i="29"/>
  <c r="T52" i="28"/>
  <c r="O52" i="29"/>
  <c r="A52" i="29" s="1"/>
  <c r="T49" i="28"/>
  <c r="O49" i="29"/>
  <c r="T49" i="29" s="1"/>
  <c r="T50" i="28"/>
  <c r="O50" i="29"/>
  <c r="T50" i="29" s="1"/>
  <c r="T51" i="28"/>
  <c r="O51" i="29"/>
  <c r="A51" i="29" s="1"/>
  <c r="A51" i="28"/>
  <c r="H13" i="28"/>
  <c r="A50" i="28"/>
  <c r="T9" i="27"/>
  <c r="O10" i="29"/>
  <c r="A52" i="28"/>
  <c r="A49" i="28"/>
  <c r="H14" i="28"/>
  <c r="H9" i="27"/>
  <c r="C21" i="21"/>
  <c r="N21" i="21" s="1"/>
  <c r="N20" i="22" s="1"/>
  <c r="O22" i="25" s="1"/>
  <c r="H5" i="21"/>
  <c r="N5" i="21" s="1"/>
  <c r="N5" i="22" s="1"/>
  <c r="O8" i="25" s="1"/>
  <c r="C23" i="21"/>
  <c r="N23" i="21" s="1"/>
  <c r="N21" i="22" s="1"/>
  <c r="O23" i="25" s="1"/>
  <c r="C25" i="21"/>
  <c r="N25" i="21" s="1"/>
  <c r="N22" i="22" s="1"/>
  <c r="O24" i="25" s="1"/>
  <c r="H8" i="21"/>
  <c r="N8" i="21" s="1"/>
  <c r="N8" i="22" s="1"/>
  <c r="O11" i="25" s="1"/>
  <c r="H7" i="21"/>
  <c r="N7" i="21" s="1"/>
  <c r="N7" i="22" s="1"/>
  <c r="O10" i="25" s="1"/>
  <c r="T50" i="31" l="1"/>
  <c r="A50" i="31"/>
  <c r="T51" i="31"/>
  <c r="A52" i="31"/>
  <c r="A50" i="32"/>
  <c r="T50" i="32"/>
  <c r="U50" i="32" s="1"/>
  <c r="T51" i="32"/>
  <c r="U51" i="32" s="1"/>
  <c r="A51" i="32"/>
  <c r="A52" i="32"/>
  <c r="T52" i="32"/>
  <c r="U52" i="32" s="1"/>
  <c r="T53" i="32"/>
  <c r="U53" i="32" s="1"/>
  <c r="A53" i="32"/>
  <c r="A51" i="31"/>
  <c r="T52" i="31"/>
  <c r="U52" i="31" s="1"/>
  <c r="T13" i="29"/>
  <c r="O13" i="30"/>
  <c r="H13" i="30" s="1"/>
  <c r="O10" i="30"/>
  <c r="H14" i="29"/>
  <c r="O14" i="30"/>
  <c r="T52" i="30"/>
  <c r="A52" i="30"/>
  <c r="A51" i="30"/>
  <c r="T51" i="30"/>
  <c r="A53" i="30"/>
  <c r="T53" i="30"/>
  <c r="T54" i="30"/>
  <c r="A54" i="30"/>
  <c r="H13" i="29"/>
  <c r="T52" i="29"/>
  <c r="T10" i="28"/>
  <c r="H10" i="29"/>
  <c r="T14" i="29"/>
  <c r="A49" i="29"/>
  <c r="T51" i="29"/>
  <c r="A50" i="29"/>
  <c r="O8" i="27"/>
  <c r="T8" i="25"/>
  <c r="T22" i="25"/>
  <c r="O22" i="27"/>
  <c r="H10" i="28"/>
  <c r="T10" i="25"/>
  <c r="O10" i="27"/>
  <c r="T11" i="25"/>
  <c r="O11" i="27"/>
  <c r="T24" i="25"/>
  <c r="O24" i="27"/>
  <c r="T23" i="25"/>
  <c r="O23" i="27"/>
  <c r="B20" i="22"/>
  <c r="H5" i="22"/>
  <c r="H7" i="22"/>
  <c r="H8" i="22"/>
  <c r="B22" i="22"/>
  <c r="B21" i="22"/>
  <c r="U51" i="31" l="1"/>
  <c r="U50" i="31"/>
  <c r="U53" i="31"/>
  <c r="T13" i="30"/>
  <c r="O13" i="31"/>
  <c r="O13" i="32" s="1"/>
  <c r="O14" i="31"/>
  <c r="O14" i="32" s="1"/>
  <c r="O10" i="31"/>
  <c r="H14" i="30"/>
  <c r="T14" i="30"/>
  <c r="H10" i="30"/>
  <c r="T10" i="30"/>
  <c r="T10" i="29"/>
  <c r="T11" i="27"/>
  <c r="T8" i="27"/>
  <c r="T10" i="27"/>
  <c r="H11" i="28"/>
  <c r="T23" i="27"/>
  <c r="O24" i="28"/>
  <c r="T24" i="27"/>
  <c r="O25" i="28"/>
  <c r="T22" i="27"/>
  <c r="O23" i="28"/>
  <c r="C22" i="27"/>
  <c r="C23" i="27"/>
  <c r="H8" i="27"/>
  <c r="C24" i="27"/>
  <c r="H12" i="28"/>
  <c r="H11" i="27"/>
  <c r="H10" i="27"/>
  <c r="H13" i="25"/>
  <c r="C22" i="25"/>
  <c r="H11" i="25"/>
  <c r="A17" i="25"/>
  <c r="C23" i="25"/>
  <c r="H10" i="25"/>
  <c r="H12" i="25"/>
  <c r="C24" i="25"/>
  <c r="H9" i="25"/>
  <c r="H8" i="25"/>
  <c r="H13" i="31" l="1"/>
  <c r="T14" i="31"/>
  <c r="U14" i="31" s="1"/>
  <c r="T13" i="31"/>
  <c r="U13" i="31" s="1"/>
  <c r="H14" i="31"/>
  <c r="T10" i="31"/>
  <c r="U10" i="31" s="1"/>
  <c r="O10" i="32"/>
  <c r="H10" i="32" s="1"/>
  <c r="H14" i="32"/>
  <c r="T14" i="32"/>
  <c r="H10" i="31"/>
  <c r="H13" i="32"/>
  <c r="T13" i="32"/>
  <c r="U13" i="32" s="1"/>
  <c r="O25" i="31"/>
  <c r="O24" i="31"/>
  <c r="O26" i="31"/>
  <c r="T25" i="28"/>
  <c r="O25" i="29"/>
  <c r="T25" i="29" s="1"/>
  <c r="T23" i="28"/>
  <c r="O23" i="29"/>
  <c r="C23" i="29" s="1"/>
  <c r="T9" i="28"/>
  <c r="H9" i="29"/>
  <c r="T24" i="28"/>
  <c r="O24" i="29"/>
  <c r="C24" i="29" s="1"/>
  <c r="T12" i="28"/>
  <c r="O12" i="29"/>
  <c r="T11" i="28"/>
  <c r="O11" i="29"/>
  <c r="H9" i="28"/>
  <c r="C23" i="28"/>
  <c r="C24" i="28"/>
  <c r="C25" i="28"/>
  <c r="O25" i="32" l="1"/>
  <c r="T25" i="32" s="1"/>
  <c r="T25" i="31"/>
  <c r="U14" i="32"/>
  <c r="O26" i="32"/>
  <c r="T26" i="32" s="1"/>
  <c r="T26" i="31"/>
  <c r="O24" i="32"/>
  <c r="C24" i="32" s="1"/>
  <c r="T24" i="31"/>
  <c r="C25" i="31"/>
  <c r="T10" i="32"/>
  <c r="U10" i="32" s="1"/>
  <c r="C24" i="31"/>
  <c r="C26" i="31"/>
  <c r="T12" i="29"/>
  <c r="O12" i="30"/>
  <c r="H11" i="29"/>
  <c r="O11" i="30"/>
  <c r="C26" i="30"/>
  <c r="C24" i="30"/>
  <c r="C25" i="30"/>
  <c r="T23" i="29"/>
  <c r="T11" i="29"/>
  <c r="T24" i="29"/>
  <c r="H12" i="29"/>
  <c r="C25" i="29"/>
  <c r="T9" i="29"/>
  <c r="C25" i="32" l="1"/>
  <c r="T24" i="32"/>
  <c r="U24" i="32" s="1"/>
  <c r="C26" i="32"/>
  <c r="U25" i="31"/>
  <c r="U26" i="31"/>
  <c r="U25" i="32"/>
  <c r="U24" i="31"/>
  <c r="U26" i="32"/>
  <c r="O12" i="31"/>
  <c r="O12" i="32" s="1"/>
  <c r="O11" i="31"/>
  <c r="H11" i="30"/>
  <c r="T11" i="30"/>
  <c r="H12" i="30"/>
  <c r="T12" i="30"/>
  <c r="H12" i="31" l="1"/>
  <c r="T12" i="31"/>
  <c r="U12" i="31" s="1"/>
  <c r="H11" i="31"/>
  <c r="O11" i="32"/>
  <c r="H11" i="32" s="1"/>
  <c r="T11" i="31"/>
  <c r="U11" i="31" s="1"/>
  <c r="T12" i="32"/>
  <c r="H12" i="32"/>
  <c r="U12" i="32" l="1"/>
  <c r="T11" i="32"/>
  <c r="U11"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Nelms, Pam K.</author>
  </authors>
  <commentList>
    <comment ref="A3" authorId="0" shapeId="0" xr:uid="{00000000-0006-0000-0000-000001000000}">
      <text>
        <r>
          <rPr>
            <b/>
            <sz val="8"/>
            <color indexed="81"/>
            <rFont val="Tahoma"/>
            <family val="2"/>
          </rPr>
          <t xml:space="preserve">Nelms: Effective at the start of the first full pay period following October 1, 2015: All wage step rates increase by 2.4%. No change to longevity, shift differntial or any premium.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Nelms, Pam K.</author>
  </authors>
  <commentList>
    <comment ref="A3" authorId="0" shapeId="0" xr:uid="{00000000-0006-0000-0100-000001000000}">
      <text>
        <r>
          <rPr>
            <b/>
            <sz val="8"/>
            <color indexed="81"/>
            <rFont val="Tahoma"/>
            <family val="2"/>
          </rPr>
          <t xml:space="preserve">Nelms: 
EFFECTIVE At the start of the pay period following October 1, 2016: October 2, 2016:
</t>
        </r>
        <r>
          <rPr>
            <sz val="8"/>
            <color indexed="81"/>
            <rFont val="Tahoma"/>
            <family val="2"/>
          </rPr>
          <t xml:space="preserve">
*Increase all wages/all titles $1.00 per hour
*Increase shift differential by $0.10 per hour.
*Increases Maintenance Electricians License to $1.00 for all hours worked.  (Max 3 FTE's at MCC and at discretion of employer in Property Services)
*Increases Gas Fitters License Premium to $1.00 per hour for all hours worked. 
*Increases Fire Extinguisher License Premium to $0.50 per hour for all hours worked. (Available to one (1) Property Services Operating Maintenance Engineer.
*Adds Refrigeration License compensation into base wage for Property Services Operations Maintenance Engineer II as it is a requirement of the job)
*Creates Refrigeration License: $0.50 per hour for all hours worked for Operating Maintenance Engineers located at the MCC and Property Services Maintenance Engineer I if  properly licensed. 
*Eliminates Safety Shoe Reimbursement and adds $0.067/hour to each step. (Employees still required to wear Safety Shoes)</t>
        </r>
        <r>
          <rPr>
            <b/>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Nelms, Pam K.</author>
  </authors>
  <commentList>
    <comment ref="A3" authorId="0" shapeId="0" xr:uid="{00000000-0006-0000-0200-000001000000}">
      <text>
        <r>
          <rPr>
            <b/>
            <sz val="8"/>
            <color indexed="81"/>
            <rFont val="Tahoma"/>
            <family val="2"/>
          </rPr>
          <t xml:space="preserve">Nelms: Effective ON October 1, 2017
</t>
        </r>
        <r>
          <rPr>
            <sz val="8"/>
            <color indexed="81"/>
            <rFont val="Tahoma"/>
            <family val="2"/>
          </rPr>
          <t xml:space="preserve">
*Increase the hourly wage in all classes $0.70 per hour.
*Increase the shift differential by $0.10 per hour.
Note that Safety Shoe allowance was rolled into the base wage on October 2, 2016. </t>
        </r>
        <r>
          <rPr>
            <b/>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Nelms, Pam K.</author>
  </authors>
  <commentList>
    <comment ref="A3" authorId="0" shapeId="0" xr:uid="{00000000-0006-0000-0300-000001000000}">
      <text>
        <r>
          <rPr>
            <b/>
            <sz val="8"/>
            <color indexed="81"/>
            <rFont val="Tahoma"/>
            <family val="2"/>
          </rPr>
          <t xml:space="preserve">Nelms: Effective ON May 13 2018
</t>
        </r>
        <r>
          <rPr>
            <sz val="8"/>
            <color indexed="81"/>
            <rFont val="Tahoma"/>
            <family val="2"/>
          </rPr>
          <t xml:space="preserve">
</t>
        </r>
        <r>
          <rPr>
            <sz val="11"/>
            <color indexed="81"/>
            <rFont val="Calibri"/>
            <family val="2"/>
            <scheme val="minor"/>
          </rPr>
          <t>No change except that the LIUNA contribution of $0.08 per hour is no longer made for the Water Maintenance Technicians, and instead that money is included in the hourly wage rate. 
Provided that Water Maintenance Technicians who obtain and maintain the ABC Plant Maintenance Technologist Class II Certification shall be paid $0.20 per hour for all hours paid.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Nelms, Pam K.</author>
  </authors>
  <commentList>
    <comment ref="A3" authorId="0" shapeId="0" xr:uid="{00000000-0006-0000-0400-000001000000}">
      <text>
        <r>
          <rPr>
            <b/>
            <sz val="8"/>
            <color indexed="81"/>
            <rFont val="Tahoma"/>
            <family val="2"/>
          </rPr>
          <t xml:space="preserve">Nelms: Effective ON October 1, 2018
*Increase the hourly wage in all classes $0.70 per hour.
*Increase the shift differential by $0.10 per hour.
Note that Safety Shoe allowance was rolled into the base wage on October 2, 2016. </t>
        </r>
      </text>
    </comment>
  </commentList>
</comments>
</file>

<file path=xl/sharedStrings.xml><?xml version="1.0" encoding="utf-8"?>
<sst xmlns="http://schemas.openxmlformats.org/spreadsheetml/2006/main" count="2042" uniqueCount="263">
  <si>
    <t>CSE - STATIONARY ENGINEERS:  INTERNATIONAL UNION OF OPERATING ENGINEERS LOCAL 70</t>
  </si>
  <si>
    <t>Effective at the start of the first full pay period following October 1, 2015</t>
  </si>
  <si>
    <t>FLSA</t>
  </si>
  <si>
    <t>OTC</t>
  </si>
  <si>
    <t>Job Code</t>
  </si>
  <si>
    <t>Classification Title</t>
  </si>
  <si>
    <t>Pts</t>
  </si>
  <si>
    <t>G</t>
  </si>
  <si>
    <t>P</t>
  </si>
  <si>
    <t>**Rate</t>
  </si>
  <si>
    <t>N</t>
  </si>
  <si>
    <t>07300C</t>
  </si>
  <si>
    <t>Operating Maintenance Engineer</t>
  </si>
  <si>
    <t>H</t>
  </si>
  <si>
    <t>08580C</t>
  </si>
  <si>
    <t>Pumping Station Engineer I</t>
  </si>
  <si>
    <t>08590C</t>
  </si>
  <si>
    <t>Pumping Station Engineer II</t>
  </si>
  <si>
    <t>09330C</t>
  </si>
  <si>
    <t>Property Srv Opr Mtc Eng I (Stat Eng I)</t>
  </si>
  <si>
    <t>09340C</t>
  </si>
  <si>
    <t>Property Srv Opr Mtc Eng II (Stat Eng II)</t>
  </si>
  <si>
    <t>*Step 1</t>
  </si>
  <si>
    <t>*Step 2</t>
  </si>
  <si>
    <t>*Step 3</t>
  </si>
  <si>
    <t>09194C</t>
  </si>
  <si>
    <t>Senior Water Treatment Operator</t>
  </si>
  <si>
    <t xml:space="preserve">     MN "Special" Boiler License </t>
  </si>
  <si>
    <t xml:space="preserve">     Second Class Grade "C" Boiler License</t>
  </si>
  <si>
    <t xml:space="preserve">     First Class Grade "C" Boiler License</t>
  </si>
  <si>
    <t xml:space="preserve">*Step placement and advancement for Senior Water Treatment Operator is based solely upon the </t>
  </si>
  <si>
    <t>level of license held/achieved by employee.</t>
  </si>
  <si>
    <t xml:space="preserve">*Provided that Senior Water Treatment Operator holding current a MN Class "A" Water Operator </t>
  </si>
  <si>
    <t xml:space="preserve">Certificate shall receive $0.80 per hour premium. </t>
  </si>
  <si>
    <t>*****************************End of Special Section for Senior Water Treatment Operators*********************</t>
  </si>
  <si>
    <t>Monday Through Friday Shift Differential</t>
  </si>
  <si>
    <r>
      <rPr>
        <b/>
        <sz val="10"/>
        <rFont val="Arial"/>
        <family val="2"/>
      </rPr>
      <t>Provided that</t>
    </r>
    <r>
      <rPr>
        <sz val="10"/>
        <rFont val="Arial"/>
        <family val="2"/>
      </rPr>
      <t xml:space="preserve"> an additional one dollar thirty cents ($1.30) per hour shall be paid, for all hours worked, to </t>
    </r>
  </si>
  <si>
    <r>
      <t xml:space="preserve">employees whose </t>
    </r>
    <r>
      <rPr>
        <u/>
        <sz val="10"/>
        <rFont val="Arial"/>
        <family val="2"/>
      </rPr>
      <t xml:space="preserve">regularly scheduled shift </t>
    </r>
    <r>
      <rPr>
        <sz val="10"/>
        <rFont val="Arial"/>
        <family val="2"/>
      </rPr>
      <t>begins between the hours of 11:00 a.m. and 6:00 a.m.</t>
    </r>
  </si>
  <si>
    <t>Saturday and Sunday Shift Differential</t>
  </si>
  <si>
    <r>
      <rPr>
        <b/>
        <sz val="10"/>
        <rFont val="Arial"/>
        <family val="2"/>
      </rPr>
      <t>Provided that</t>
    </r>
    <r>
      <rPr>
        <sz val="10"/>
        <rFont val="Arial"/>
        <family val="2"/>
      </rPr>
      <t xml:space="preserve"> an additional premium shall be paid to all employees who work any shift which begins on a Saturday or Sunday, </t>
    </r>
  </si>
  <si>
    <t xml:space="preserve">as shown below. The Weekend Shift Differential is in addition to any weekday shift differential that may be paid to said employees. </t>
  </si>
  <si>
    <t>1st Shift:</t>
  </si>
  <si>
    <t xml:space="preserve">For all hours worked on shifts that begin between 6:00 a.m. and 1:59 p.m., employees shall be paid a premium of </t>
  </si>
  <si>
    <t>per hour.</t>
  </si>
  <si>
    <t>2nd Shift:</t>
  </si>
  <si>
    <t xml:space="preserve">For all hours worked on shifts that begin between 2:00 p.m. and 8:59 p.m., employees shall be paid a premium of </t>
  </si>
  <si>
    <t>3rd Shift</t>
  </si>
  <si>
    <t xml:space="preserve">For all hours worked on shifts that begin between 9:00 p.m. and 5:59 a.m., employees shall be paid a premium of </t>
  </si>
  <si>
    <r>
      <rPr>
        <b/>
        <sz val="10"/>
        <rFont val="Arial"/>
        <family val="2"/>
      </rPr>
      <t>Provided that</t>
    </r>
    <r>
      <rPr>
        <sz val="10"/>
        <rFont val="Arial"/>
        <family val="2"/>
      </rPr>
      <t xml:space="preserve"> Stationary Engineers in the Lands and Buildings Division of Public Works who are licensed</t>
    </r>
  </si>
  <si>
    <t xml:space="preserve">Maintenance Electricians shall receive an additional seventy-six-point-five ($.765) cents per hour. This premium is limited </t>
  </si>
  <si>
    <t>to three Stationary Engineers who may be assigned on the day or middle shift.</t>
  </si>
  <si>
    <r>
      <rPr>
        <b/>
        <sz val="10"/>
        <rFont val="Arial"/>
        <family val="2"/>
      </rPr>
      <t>Provided that</t>
    </r>
    <r>
      <rPr>
        <sz val="10"/>
        <rFont val="Arial"/>
        <family val="2"/>
      </rPr>
      <t xml:space="preserve"> where qualified and properly licensed bargaining unit employees perform duties within </t>
    </r>
  </si>
  <si>
    <t>the scope of the City's Gas Fitters license, a premium of seventy-five ($.75) cents per hour shall be paid.</t>
  </si>
  <si>
    <r>
      <rPr>
        <b/>
        <sz val="10"/>
        <rFont val="Arial"/>
        <family val="2"/>
      </rPr>
      <t>Provided that</t>
    </r>
    <r>
      <rPr>
        <sz val="10"/>
        <rFont val="Arial"/>
        <family val="2"/>
      </rPr>
      <t xml:space="preserve"> employees will advance from the Pumping Station Engineer I to Pumping</t>
    </r>
  </si>
  <si>
    <t>Station Engineer II after two years of experience and satisfactory service.</t>
  </si>
  <si>
    <r>
      <rPr>
        <b/>
        <sz val="10"/>
        <rFont val="Arial"/>
        <family val="2"/>
      </rPr>
      <t>Provided that</t>
    </r>
    <r>
      <rPr>
        <sz val="10"/>
        <rFont val="Arial"/>
        <family val="2"/>
      </rPr>
      <t xml:space="preserve"> the fire extinguisher differential shall be forty cents ($.40) per hour.</t>
    </r>
  </si>
  <si>
    <t xml:space="preserve">Longevity </t>
  </si>
  <si>
    <r>
      <rPr>
        <b/>
        <sz val="10"/>
        <rFont val="Arial"/>
        <family val="2"/>
      </rPr>
      <t>Provided that</t>
    </r>
    <r>
      <rPr>
        <sz val="10"/>
        <rFont val="Arial"/>
        <family val="2"/>
      </rPr>
      <t xml:space="preserve"> employees shall receive the following hourly longevity:  </t>
    </r>
  </si>
  <si>
    <t>These payments shall be based on a maximum of 80 hours bi-weekly:</t>
  </si>
  <si>
    <t>hourly longevity beginning at the 10th year of service.</t>
  </si>
  <si>
    <t>hourly longevity beginning at the 15th year of service.</t>
  </si>
  <si>
    <t>hourly longevity beginning at the 20th year of service.</t>
  </si>
  <si>
    <t>hourly longevity beginning at the 25th year of service.</t>
  </si>
  <si>
    <t>On-Call Pay: (See contract for qualification)</t>
  </si>
  <si>
    <t>Provided that an employee designated to be "on-call" will receive:</t>
  </si>
  <si>
    <t>Thirty-five ($35.00) dollars for each weekday the employee is on on-call.</t>
  </si>
  <si>
    <t>Forty-five ($45.00) dollars for each weekend day (Saturday or Sunday) or holiday the employee is on-call.</t>
  </si>
  <si>
    <t xml:space="preserve">No additional compensation shall be received unless the employee is called back to duty, when they would receive </t>
  </si>
  <si>
    <t>their normal compensation.</t>
  </si>
  <si>
    <t>Effective at the start of the first full pay period following October 1, 2016</t>
  </si>
  <si>
    <t>Hourly Rate</t>
  </si>
  <si>
    <t>Operating Maintenance Engineer (MCC)</t>
  </si>
  <si>
    <t>09345C</t>
  </si>
  <si>
    <t>Property Srv Opr Mtc Eng III (Stat Eng II)</t>
  </si>
  <si>
    <t>10859C</t>
  </si>
  <si>
    <t>**Water Maintenance Technician</t>
  </si>
  <si>
    <t xml:space="preserve">** For Water Maintenance Technicians (WMT's), in addition to the wages shown above, the employer shall make a contribution of $0.08 per hour to </t>
  </si>
  <si>
    <t>the Laborers International Union of North America (LIUNA) Supplemental Pension Fund for qualified employees.</t>
  </si>
  <si>
    <t xml:space="preserve">Also, for the WMT's, the safety shoe allowance is included in the base hourly wage, as it is for other jobs in this Unit. </t>
  </si>
  <si>
    <r>
      <rPr>
        <b/>
        <sz val="10"/>
        <rFont val="Arial"/>
        <family val="2"/>
      </rPr>
      <t>Provided that</t>
    </r>
    <r>
      <rPr>
        <sz val="10"/>
        <rFont val="Arial"/>
        <family val="2"/>
      </rPr>
      <t xml:space="preserve"> an additional one dollar forty cents ($1.40) per hour shall be paid, for all hours worked, to </t>
    </r>
  </si>
  <si>
    <r>
      <t xml:space="preserve">Provided that a </t>
    </r>
    <r>
      <rPr>
        <u/>
        <sz val="10"/>
        <rFont val="Arial"/>
        <family val="2"/>
      </rPr>
      <t xml:space="preserve">weekend shift differential </t>
    </r>
    <r>
      <rPr>
        <sz val="10"/>
        <rFont val="Arial"/>
        <family val="2"/>
      </rPr>
      <t xml:space="preserve">shall be paid, to  all employees whose regularly scheduled shifts begin within these hours: </t>
    </r>
  </si>
  <si>
    <t>1st Shift*:</t>
  </si>
  <si>
    <t>2nd Shift*:</t>
  </si>
  <si>
    <t>3rd Shift*</t>
  </si>
  <si>
    <t xml:space="preserve">*The Weekend Shift Differential is in addition to any weekday shift differential that may be paid to said employees. </t>
  </si>
  <si>
    <t>Premiums</t>
  </si>
  <si>
    <r>
      <rPr>
        <b/>
        <sz val="10"/>
        <rFont val="Arial"/>
        <family val="2"/>
      </rPr>
      <t>Provided that</t>
    </r>
    <r>
      <rPr>
        <sz val="10"/>
        <rFont val="Arial"/>
        <family val="2"/>
      </rPr>
      <t xml:space="preserve"> Operating Maintenance Engineers at the Minneapolis Convention Center (MCC), and Property Services Operating </t>
    </r>
  </si>
  <si>
    <r>
      <t xml:space="preserve">Maintenance Engineer I's, who are certified for </t>
    </r>
    <r>
      <rPr>
        <b/>
        <sz val="10"/>
        <rFont val="Arial"/>
        <family val="2"/>
      </rPr>
      <t>EPA</t>
    </r>
    <r>
      <rPr>
        <sz val="10"/>
        <rFont val="Arial"/>
        <family val="2"/>
      </rPr>
      <t xml:space="preserve"> </t>
    </r>
    <r>
      <rPr>
        <b/>
        <sz val="10"/>
        <rFont val="Arial"/>
        <family val="2"/>
      </rPr>
      <t>Universal CFC Refrigeration</t>
    </r>
    <r>
      <rPr>
        <sz val="10"/>
        <rFont val="Arial"/>
        <family val="2"/>
      </rPr>
      <t xml:space="preserve"> shall be paid </t>
    </r>
  </si>
  <si>
    <t>per hour for all hours paid.</t>
  </si>
  <si>
    <r>
      <rPr>
        <b/>
        <sz val="10"/>
        <rFont val="Arial"/>
        <family val="2"/>
      </rPr>
      <t xml:space="preserve">Provided that, </t>
    </r>
    <r>
      <rPr>
        <sz val="10"/>
        <rFont val="Arial"/>
        <family val="2"/>
      </rPr>
      <t xml:space="preserve">at the discretion of the Employer, a maximum of Three (3) Stationary Engineers at the Convention Center and in </t>
    </r>
  </si>
  <si>
    <r>
      <t xml:space="preserve">Property Services who are </t>
    </r>
    <r>
      <rPr>
        <b/>
        <sz val="10"/>
        <rFont val="Arial"/>
        <family val="2"/>
      </rPr>
      <t>Licensed Maintenance Electricians</t>
    </r>
    <r>
      <rPr>
        <sz val="10"/>
        <rFont val="Arial"/>
        <family val="2"/>
      </rPr>
      <t xml:space="preserve"> may receive an additional </t>
    </r>
  </si>
  <si>
    <r>
      <rPr>
        <b/>
        <sz val="10"/>
        <rFont val="Arial"/>
        <family val="2"/>
      </rPr>
      <t>Provided that</t>
    </r>
    <r>
      <rPr>
        <sz val="10"/>
        <rFont val="Arial"/>
        <family val="2"/>
      </rPr>
      <t xml:space="preserve"> properly licensed bargaining unit employees regularly and routinely required to perform duties within the scope </t>
    </r>
  </si>
  <si>
    <t>of the City's Gas Fitters license shall be paid for all the hours performing work that requires the license.</t>
  </si>
  <si>
    <t xml:space="preserve">Premium  = </t>
  </si>
  <si>
    <t>per hour</t>
  </si>
  <si>
    <r>
      <rPr>
        <b/>
        <sz val="10"/>
        <rFont val="Arial"/>
        <family val="2"/>
      </rPr>
      <t>Provided that</t>
    </r>
    <r>
      <rPr>
        <sz val="10"/>
        <rFont val="Arial"/>
        <family val="2"/>
      </rPr>
      <t xml:space="preserve"> the </t>
    </r>
    <r>
      <rPr>
        <b/>
        <sz val="10"/>
        <rFont val="Arial"/>
        <family val="2"/>
      </rPr>
      <t>Fire Extinguisher Certification</t>
    </r>
    <r>
      <rPr>
        <sz val="10"/>
        <rFont val="Arial"/>
        <family val="2"/>
      </rPr>
      <t xml:space="preserve"> Premium may be paid  to one certified and assigned Stationary Engineer in the Property  </t>
    </r>
  </si>
  <si>
    <t>Services Division for all hours paid.</t>
  </si>
  <si>
    <t>Effective On October 1, 2017</t>
  </si>
  <si>
    <t>Property Srv Opr Mtc Eng III (Stat Eng III)</t>
  </si>
  <si>
    <t>Water Maintenance Technician</t>
  </si>
  <si>
    <t xml:space="preserve">** For Water Maintenance Technicians, in addition to the wages shown above, the employer shall make a contribution of $0.08 per hour to </t>
  </si>
  <si>
    <r>
      <rPr>
        <b/>
        <sz val="10"/>
        <rFont val="Arial"/>
        <family val="2"/>
      </rPr>
      <t>Provided that</t>
    </r>
    <r>
      <rPr>
        <sz val="10"/>
        <rFont val="Arial"/>
        <family val="2"/>
      </rPr>
      <t xml:space="preserve"> an additional one dollar fifty cents ($1.50) per hour shall be paid, for all hours worked, to </t>
    </r>
  </si>
  <si>
    <r>
      <t xml:space="preserve">Maintenance Engineer I's &amp; II's, who are certified for </t>
    </r>
    <r>
      <rPr>
        <b/>
        <sz val="10"/>
        <rFont val="Arial"/>
        <family val="2"/>
      </rPr>
      <t>EPA</t>
    </r>
    <r>
      <rPr>
        <sz val="10"/>
        <rFont val="Arial"/>
        <family val="2"/>
      </rPr>
      <t xml:space="preserve"> </t>
    </r>
    <r>
      <rPr>
        <b/>
        <sz val="10"/>
        <rFont val="Arial"/>
        <family val="2"/>
      </rPr>
      <t>Universal CFC Refrigeration</t>
    </r>
    <r>
      <rPr>
        <sz val="10"/>
        <rFont val="Arial"/>
        <family val="2"/>
      </rPr>
      <t xml:space="preserve"> shall be paid </t>
    </r>
  </si>
  <si>
    <r>
      <t xml:space="preserve">Property Services Maintenance Engineers I's &amp; II's who are </t>
    </r>
    <r>
      <rPr>
        <b/>
        <sz val="10"/>
        <rFont val="Arial"/>
        <family val="2"/>
      </rPr>
      <t>Licensed Maintenance Electricians</t>
    </r>
    <r>
      <rPr>
        <sz val="10"/>
        <rFont val="Arial"/>
        <family val="2"/>
      </rPr>
      <t xml:space="preserve"> shall receive an additional </t>
    </r>
  </si>
  <si>
    <r>
      <rPr>
        <b/>
        <sz val="10"/>
        <rFont val="Arial"/>
        <family val="2"/>
      </rPr>
      <t>Provided that</t>
    </r>
    <r>
      <rPr>
        <sz val="10"/>
        <rFont val="Arial"/>
        <family val="2"/>
      </rPr>
      <t xml:space="preserve"> properly licensed Operating Maintenance Engineers at the Convention Center (MCC), and Property Services </t>
    </r>
  </si>
  <si>
    <t xml:space="preserve">Operating Maintenance Engineers I's and II's who are regularly and routinely required to perform duties within the scope </t>
  </si>
  <si>
    <r>
      <rPr>
        <b/>
        <sz val="10"/>
        <rFont val="Arial"/>
        <family val="2"/>
      </rPr>
      <t>Provided that</t>
    </r>
    <r>
      <rPr>
        <sz val="10"/>
        <rFont val="Arial"/>
        <family val="2"/>
      </rPr>
      <t xml:space="preserve"> the </t>
    </r>
    <r>
      <rPr>
        <b/>
        <sz val="10"/>
        <rFont val="Arial"/>
        <family val="2"/>
      </rPr>
      <t>Fire Extinguisher Certification</t>
    </r>
    <r>
      <rPr>
        <sz val="10"/>
        <rFont val="Arial"/>
        <family val="2"/>
      </rPr>
      <t xml:space="preserve"> Premium may be paid  to one certified and assigned Stationary Engineer in the</t>
    </r>
  </si>
  <si>
    <t xml:space="preserve">Property  Services Division for all hours paid.  </t>
  </si>
  <si>
    <t>Effective On May 13, 2018: LIUNA contribution discontinued and is now included in the base Hourly Rate.</t>
  </si>
  <si>
    <t xml:space="preserve">** For Water Maintenance Technicians, the previous contribution of $0.08 per hour to the Laborers International Union </t>
  </si>
  <si>
    <t>of North America (LIUNA) Supplemental Pension Fund is now included in the base hourly rate.</t>
  </si>
  <si>
    <r>
      <t>Effective May 13, 2018, Provided that</t>
    </r>
    <r>
      <rPr>
        <sz val="11"/>
        <rFont val="Calibri"/>
        <family val="2"/>
      </rPr>
      <t xml:space="preserve"> Water Maintenance Technicians who obtain and maintain the </t>
    </r>
    <r>
      <rPr>
        <b/>
        <sz val="11"/>
        <rFont val="Calibri"/>
        <family val="2"/>
      </rPr>
      <t xml:space="preserve">ABC Plant Maintenance </t>
    </r>
  </si>
  <si>
    <r>
      <t xml:space="preserve">Technologist Class II </t>
    </r>
    <r>
      <rPr>
        <b/>
        <sz val="11"/>
        <rFont val="Calibri"/>
        <family val="2"/>
      </rPr>
      <t>Certification</t>
    </r>
    <r>
      <rPr>
        <sz val="11"/>
        <rFont val="Calibri"/>
        <family val="2"/>
      </rPr>
      <t xml:space="preserve"> shall be paid $0.20 per hour for all hours paid.</t>
    </r>
  </si>
  <si>
    <t>Verified in COMET 8-16-19 - BTM</t>
  </si>
  <si>
    <t>Effective ON October 1, 2018</t>
  </si>
  <si>
    <t>FLSA/OTC</t>
  </si>
  <si>
    <t>SalGrd</t>
  </si>
  <si>
    <t>Step 1</t>
  </si>
  <si>
    <t>N-2</t>
  </si>
  <si>
    <t>03</t>
  </si>
  <si>
    <t>02</t>
  </si>
  <si>
    <t>08</t>
  </si>
  <si>
    <t>09</t>
  </si>
  <si>
    <r>
      <rPr>
        <b/>
        <sz val="10"/>
        <rFont val="Arial"/>
        <family val="2"/>
      </rPr>
      <t>Provided that</t>
    </r>
    <r>
      <rPr>
        <sz val="10"/>
        <rFont val="Arial"/>
        <family val="2"/>
      </rPr>
      <t xml:space="preserve"> an additional one dollar sixty cents ($1.60) per hour shall be paid, for all hours worked, to </t>
    </r>
  </si>
  <si>
    <r>
      <t xml:space="preserve">of the City's </t>
    </r>
    <r>
      <rPr>
        <b/>
        <sz val="10"/>
        <rFont val="Arial"/>
        <family val="2"/>
      </rPr>
      <t>Gas Fitters license</t>
    </r>
    <r>
      <rPr>
        <sz val="10"/>
        <rFont val="Arial"/>
        <family val="2"/>
      </rPr>
      <t xml:space="preserve"> shall be paid for all the hours performing work that requires the license.</t>
    </r>
  </si>
  <si>
    <r>
      <t>Provided that</t>
    </r>
    <r>
      <rPr>
        <sz val="11"/>
        <rFont val="Calibri"/>
        <family val="2"/>
      </rPr>
      <t xml:space="preserve"> Water Maintenance Technicians who obtain and maintain the </t>
    </r>
    <r>
      <rPr>
        <b/>
        <sz val="11"/>
        <rFont val="Calibri"/>
        <family val="2"/>
      </rPr>
      <t xml:space="preserve">ABC Plant Maintenance Technologist Class II </t>
    </r>
  </si>
  <si>
    <r>
      <rPr>
        <b/>
        <sz val="11"/>
        <rFont val="Calibri"/>
        <family val="2"/>
      </rPr>
      <t>Certification</t>
    </r>
    <r>
      <rPr>
        <sz val="11"/>
        <rFont val="Calibri"/>
        <family val="2"/>
      </rPr>
      <t xml:space="preserve"> shall be paid $0.20 per hour for all hours paid.</t>
    </r>
  </si>
  <si>
    <t xml:space="preserve"> Property  Services Division for all hours paid.  </t>
  </si>
  <si>
    <t>Effective ON October 1, 2019</t>
  </si>
  <si>
    <r>
      <rPr>
        <b/>
        <sz val="10"/>
        <rFont val="Arial"/>
        <family val="2"/>
      </rPr>
      <t>Provided that</t>
    </r>
    <r>
      <rPr>
        <sz val="10"/>
        <rFont val="Arial"/>
        <family val="2"/>
      </rPr>
      <t xml:space="preserve"> an additional one dollar sixty cents ($1.64) per hour shall be paid, for all hours worked, to </t>
    </r>
  </si>
  <si>
    <r>
      <t xml:space="preserve">Property Services Maintenance Engineers I's &amp; II's who are </t>
    </r>
    <r>
      <rPr>
        <b/>
        <sz val="10"/>
        <rFont val="Arial"/>
        <family val="2"/>
      </rPr>
      <t>Licensed Maintenance Electricians</t>
    </r>
    <r>
      <rPr>
        <sz val="10"/>
        <rFont val="Arial"/>
        <family val="2"/>
      </rPr>
      <t xml:space="preserve"> or </t>
    </r>
    <r>
      <rPr>
        <b/>
        <sz val="10"/>
        <rFont val="Arial"/>
        <family val="2"/>
      </rPr>
      <t>Power Limited Licensed</t>
    </r>
    <r>
      <rPr>
        <sz val="10"/>
        <rFont val="Arial"/>
        <family val="2"/>
      </rPr>
      <t xml:space="preserve"> shall receive an additional </t>
    </r>
  </si>
  <si>
    <t>CSEW1P</t>
  </si>
  <si>
    <t>Sat/Sun 1st Shft + AM/EVE Shft</t>
  </si>
  <si>
    <t>CSEW2P</t>
  </si>
  <si>
    <t>Sat/Sun 2nd Shft + AM/EVE Shft</t>
  </si>
  <si>
    <t>CSEW3P</t>
  </si>
  <si>
    <t>Sat/Sun 3rd Shft + AM/EVE Shft</t>
  </si>
  <si>
    <t>Effective ON October 1, 2020</t>
  </si>
  <si>
    <r>
      <rPr>
        <b/>
        <sz val="10"/>
        <rFont val="Arial"/>
        <family val="2"/>
      </rPr>
      <t>Provided that</t>
    </r>
    <r>
      <rPr>
        <sz val="10"/>
        <rFont val="Arial"/>
        <family val="2"/>
      </rPr>
      <t xml:space="preserve"> the </t>
    </r>
    <r>
      <rPr>
        <b/>
        <sz val="10"/>
        <rFont val="Arial"/>
        <family val="2"/>
      </rPr>
      <t>Fire Extinguisher Certification</t>
    </r>
    <r>
      <rPr>
        <sz val="10"/>
        <rFont val="Arial"/>
        <family val="2"/>
      </rPr>
      <t xml:space="preserve"> </t>
    </r>
    <r>
      <rPr>
        <b/>
        <sz val="10"/>
        <rFont val="Arial"/>
        <family val="2"/>
      </rPr>
      <t>Premium</t>
    </r>
    <r>
      <rPr>
        <sz val="10"/>
        <rFont val="Arial"/>
        <family val="2"/>
      </rPr>
      <t xml:space="preserve"> may be paid  to a maximum of three (3) certified and assigned Stationary Engineers in the</t>
    </r>
  </si>
  <si>
    <t xml:space="preserve"> Property Services Division for all hours paid.  </t>
  </si>
  <si>
    <t>Jobcode</t>
  </si>
  <si>
    <t>Grade</t>
  </si>
  <si>
    <t>Rate</t>
  </si>
  <si>
    <t>10</t>
  </si>
  <si>
    <t>59400C</t>
  </si>
  <si>
    <t>Operating Maintenance Engineer II (Engineering Energy Specialist)</t>
  </si>
  <si>
    <r>
      <rPr>
        <b/>
        <sz val="10"/>
        <rFont val="Arial"/>
        <family val="2"/>
      </rPr>
      <t>Provided that</t>
    </r>
    <r>
      <rPr>
        <sz val="10"/>
        <rFont val="Arial"/>
        <family val="2"/>
      </rPr>
      <t xml:space="preserve"> an additional one dollar sixty cents ($1.68) per hour shall be paid, for all hours worked, to </t>
    </r>
  </si>
  <si>
    <t>CSEAM1</t>
  </si>
  <si>
    <t>TL-Morning Shift Premium CSE</t>
  </si>
  <si>
    <t>CSEEVE</t>
  </si>
  <si>
    <t>TL-Evening Shift Premium-CSE</t>
  </si>
  <si>
    <t>CSEWK1</t>
  </si>
  <si>
    <t>TL-Sat/Sun1st Shift CSE</t>
  </si>
  <si>
    <t>CSEWK2</t>
  </si>
  <si>
    <t>TL-Sat/Sun 2ndt Shift CSE</t>
  </si>
  <si>
    <t>CSEWK3</t>
  </si>
  <si>
    <t>TL-Sat/Sun 3rd Shift CSE</t>
  </si>
  <si>
    <t>CSEEPA</t>
  </si>
  <si>
    <t>EPA Univ CFC Refrigeration</t>
  </si>
  <si>
    <t>CSELME</t>
  </si>
  <si>
    <t>Pow ltd lic/Lic Maint Elect</t>
  </si>
  <si>
    <t>CSEGAS</t>
  </si>
  <si>
    <t>TL-Citys Gas Fitting-CSE</t>
  </si>
  <si>
    <t>CSEABC</t>
  </si>
  <si>
    <t>ABC Plant Mntc Tech Class 2</t>
  </si>
  <si>
    <t>CSEFEX</t>
  </si>
  <si>
    <t>Fire Extinguisher Spec-Cert</t>
  </si>
  <si>
    <t>10th</t>
  </si>
  <si>
    <t>15th</t>
  </si>
  <si>
    <t>20th</t>
  </si>
  <si>
    <t>25th</t>
  </si>
  <si>
    <t>CSECDY</t>
  </si>
  <si>
    <t>TL-On call by the day-CSE</t>
  </si>
  <si>
    <t>CSECWE</t>
  </si>
  <si>
    <t>TL-On call by day Weekend-CSE</t>
  </si>
  <si>
    <t>IncrPerc2021</t>
  </si>
  <si>
    <t>Effective ON October 1, 2021</t>
  </si>
  <si>
    <t>Operating Maintenance Engineer I (MCC)</t>
  </si>
  <si>
    <t>Operating Maintenance Engineer II (MCC)</t>
  </si>
  <si>
    <r>
      <rPr>
        <u/>
        <sz val="10"/>
        <rFont val="Calibri"/>
        <family val="2"/>
        <scheme val="minor"/>
      </rPr>
      <t xml:space="preserve">regularly scheduled shift </t>
    </r>
    <r>
      <rPr>
        <sz val="10"/>
        <rFont val="Calibri"/>
        <family val="2"/>
        <scheme val="minor"/>
      </rPr>
      <t>begins between the hours of 11:00 a.m. and 6:00 a.m.</t>
    </r>
  </si>
  <si>
    <r>
      <t xml:space="preserve">Provided that a </t>
    </r>
    <r>
      <rPr>
        <u/>
        <sz val="10"/>
        <rFont val="Calibri"/>
        <family val="2"/>
        <scheme val="minor"/>
      </rPr>
      <t xml:space="preserve">weekend shift differential </t>
    </r>
    <r>
      <rPr>
        <sz val="10"/>
        <rFont val="Calibri"/>
        <family val="2"/>
        <scheme val="minor"/>
      </rPr>
      <t xml:space="preserve">shall be paid, to  all employees whose regularly scheduled shifts begin within these hours: </t>
    </r>
  </si>
  <si>
    <r>
      <rPr>
        <b/>
        <sz val="10"/>
        <rFont val="Calibri"/>
        <family val="2"/>
        <scheme val="minor"/>
      </rPr>
      <t>Provided that</t>
    </r>
    <r>
      <rPr>
        <sz val="10"/>
        <rFont val="Calibri"/>
        <family val="2"/>
        <scheme val="minor"/>
      </rPr>
      <t xml:space="preserve"> Operating Maintenance Engineers at the Minneapolis Convention Center (MCC), and Property Services Operating </t>
    </r>
  </si>
  <si>
    <r>
      <t xml:space="preserve">Maintenance Engineer I's &amp; II's, who are certified for </t>
    </r>
    <r>
      <rPr>
        <b/>
        <sz val="10"/>
        <rFont val="Calibri"/>
        <family val="2"/>
        <scheme val="minor"/>
      </rPr>
      <t>EPA</t>
    </r>
    <r>
      <rPr>
        <sz val="10"/>
        <rFont val="Calibri"/>
        <family val="2"/>
        <scheme val="minor"/>
      </rPr>
      <t xml:space="preserve"> </t>
    </r>
    <r>
      <rPr>
        <b/>
        <sz val="10"/>
        <rFont val="Calibri"/>
        <family val="2"/>
        <scheme val="minor"/>
      </rPr>
      <t>Universal CFC Refrigeration</t>
    </r>
    <r>
      <rPr>
        <sz val="10"/>
        <rFont val="Calibri"/>
        <family val="2"/>
        <scheme val="minor"/>
      </rPr>
      <t xml:space="preserve"> shall be paid </t>
    </r>
  </si>
  <si>
    <r>
      <rPr>
        <b/>
        <sz val="10"/>
        <rFont val="Calibri"/>
        <family val="2"/>
        <scheme val="minor"/>
      </rPr>
      <t xml:space="preserve">Provided that, </t>
    </r>
    <r>
      <rPr>
        <sz val="10"/>
        <rFont val="Calibri"/>
        <family val="2"/>
        <scheme val="minor"/>
      </rPr>
      <t xml:space="preserve">at the discretion of the Employer, a maximum of Three (3) Stationary Engineers at the Convention Center and in </t>
    </r>
  </si>
  <si>
    <r>
      <t xml:space="preserve">Property Services Maintenance Engineers I's &amp; II's who are </t>
    </r>
    <r>
      <rPr>
        <b/>
        <sz val="10"/>
        <rFont val="Calibri"/>
        <family val="2"/>
        <scheme val="minor"/>
      </rPr>
      <t>Licensed Maintenance Electricians</t>
    </r>
    <r>
      <rPr>
        <sz val="10"/>
        <rFont val="Calibri"/>
        <family val="2"/>
        <scheme val="minor"/>
      </rPr>
      <t xml:space="preserve"> or </t>
    </r>
    <r>
      <rPr>
        <b/>
        <sz val="10"/>
        <rFont val="Calibri"/>
        <family val="2"/>
        <scheme val="minor"/>
      </rPr>
      <t>Power Limited Licensed</t>
    </r>
    <r>
      <rPr>
        <sz val="10"/>
        <rFont val="Calibri"/>
        <family val="2"/>
        <scheme val="minor"/>
      </rPr>
      <t xml:space="preserve"> shall receive an additional </t>
    </r>
  </si>
  <si>
    <r>
      <rPr>
        <b/>
        <sz val="10"/>
        <rFont val="Calibri"/>
        <family val="2"/>
        <scheme val="minor"/>
      </rPr>
      <t>Provided that</t>
    </r>
    <r>
      <rPr>
        <sz val="10"/>
        <rFont val="Calibri"/>
        <family val="2"/>
        <scheme val="minor"/>
      </rPr>
      <t xml:space="preserve"> properly licensed Operating Maintenance Engineers at the Convention Center (MCC), and Property Services </t>
    </r>
  </si>
  <si>
    <r>
      <t xml:space="preserve">of the City's </t>
    </r>
    <r>
      <rPr>
        <b/>
        <sz val="10"/>
        <rFont val="Calibri"/>
        <family val="2"/>
        <scheme val="minor"/>
      </rPr>
      <t>Gas Fitters license</t>
    </r>
    <r>
      <rPr>
        <sz val="10"/>
        <rFont val="Calibri"/>
        <family val="2"/>
        <scheme val="minor"/>
      </rPr>
      <t xml:space="preserve"> shall be paid for all the hours performing work that requires the license.</t>
    </r>
  </si>
  <si>
    <r>
      <t>Provided that</t>
    </r>
    <r>
      <rPr>
        <sz val="11"/>
        <rFont val="Calibri"/>
        <family val="2"/>
        <scheme val="minor"/>
      </rPr>
      <t xml:space="preserve"> Water Maintenance Technicians who obtain and maintain the </t>
    </r>
    <r>
      <rPr>
        <b/>
        <sz val="11"/>
        <rFont val="Calibri"/>
        <family val="2"/>
        <scheme val="minor"/>
      </rPr>
      <t xml:space="preserve">ABC Plant Maintenance Technologist Class II </t>
    </r>
  </si>
  <si>
    <r>
      <rPr>
        <b/>
        <sz val="11"/>
        <rFont val="Calibri"/>
        <family val="2"/>
        <scheme val="minor"/>
      </rPr>
      <t>Certification</t>
    </r>
    <r>
      <rPr>
        <sz val="11"/>
        <rFont val="Calibri"/>
        <family val="2"/>
        <scheme val="minor"/>
      </rPr>
      <t xml:space="preserve"> shall be paid $0.20 per hour for all hours paid.</t>
    </r>
  </si>
  <si>
    <r>
      <rPr>
        <b/>
        <sz val="10"/>
        <rFont val="Calibri"/>
        <family val="2"/>
        <scheme val="minor"/>
      </rPr>
      <t>Provided that</t>
    </r>
    <r>
      <rPr>
        <sz val="10"/>
        <rFont val="Calibri"/>
        <family val="2"/>
        <scheme val="minor"/>
      </rPr>
      <t xml:space="preserve"> the </t>
    </r>
    <r>
      <rPr>
        <b/>
        <sz val="10"/>
        <rFont val="Calibri"/>
        <family val="2"/>
        <scheme val="minor"/>
      </rPr>
      <t>Fire Extinguisher Certification</t>
    </r>
    <r>
      <rPr>
        <sz val="10"/>
        <rFont val="Calibri"/>
        <family val="2"/>
        <scheme val="minor"/>
      </rPr>
      <t xml:space="preserve"> </t>
    </r>
    <r>
      <rPr>
        <b/>
        <sz val="10"/>
        <rFont val="Calibri"/>
        <family val="2"/>
        <scheme val="minor"/>
      </rPr>
      <t>Premium</t>
    </r>
    <r>
      <rPr>
        <sz val="10"/>
        <rFont val="Calibri"/>
        <family val="2"/>
        <scheme val="minor"/>
      </rPr>
      <t xml:space="preserve"> may be paid  to a maximum of three (3) certified and assigned Stationary Engineers in the</t>
    </r>
  </si>
  <si>
    <r>
      <rPr>
        <b/>
        <sz val="10"/>
        <rFont val="Calibri"/>
        <family val="2"/>
        <scheme val="minor"/>
      </rPr>
      <t>Provided that</t>
    </r>
    <r>
      <rPr>
        <sz val="10"/>
        <rFont val="Calibri"/>
        <family val="2"/>
        <scheme val="minor"/>
      </rPr>
      <t xml:space="preserve"> employees shall receive the following hourly longevity:  </t>
    </r>
  </si>
  <si>
    <t>CITY OF MINNEAPOLIS</t>
  </si>
  <si>
    <t>Stationary Engineers:  International Union of Operating Engineers Local 70 - CSE</t>
  </si>
  <si>
    <t>IncrPerc2022</t>
  </si>
  <si>
    <t>Effective October 1, 2022</t>
  </si>
  <si>
    <t>2.5% Increase</t>
  </si>
  <si>
    <t>Last Updated January 11, 2024</t>
  </si>
  <si>
    <t>Comp/Calculations</t>
  </si>
  <si>
    <t>HRIS/Payroll</t>
  </si>
  <si>
    <t>FLSA/
OTC</t>
  </si>
  <si>
    <t>Salary
Grade</t>
  </si>
  <si>
    <t>Job
Code</t>
  </si>
  <si>
    <t>Points</t>
  </si>
  <si>
    <t>Class
Grade</t>
  </si>
  <si>
    <t>Pay
Type</t>
  </si>
  <si>
    <t>Update</t>
  </si>
  <si>
    <t>Y</t>
  </si>
  <si>
    <t>Differentials</t>
  </si>
  <si>
    <t xml:space="preserve"> between the hours of 11:00 a.m. and 6:00 a.m.</t>
  </si>
  <si>
    <t>3rd Shift*:</t>
  </si>
  <si>
    <t xml:space="preserve">Operating Maintenance Engineers at the Minneapolis Convention Center (MCC), and Property Services Operating </t>
  </si>
  <si>
    <t xml:space="preserve">At the discretion of the City, a maximum of 3 Stationary Engineers at the Convention Center and </t>
  </si>
  <si>
    <t xml:space="preserve">Property Services Maintenance Engineers I's &amp; II's who are Licensed Maintenance Electricians or Power Limited Licensed shall receive an additional </t>
  </si>
  <si>
    <r>
      <rPr>
        <b/>
        <sz val="10"/>
        <rFont val="Calibri"/>
        <family val="2"/>
        <scheme val="minor"/>
      </rPr>
      <t>P</t>
    </r>
    <r>
      <rPr>
        <sz val="10"/>
        <rFont val="Calibri"/>
        <family val="2"/>
        <scheme val="minor"/>
      </rPr>
      <t>roperly licensed Operating Maintenance Engineers at the Convention Center (MCC), and Property Services Operating Maintenance Engineers I's and II's may be designated</t>
    </r>
  </si>
  <si>
    <t xml:space="preserve">Water Maintenance Technicians who obtain and maintain the ABC Plant Maintenance Technologist Class II </t>
  </si>
  <si>
    <t>CSECHE</t>
  </si>
  <si>
    <t>Chief Engineer Prem</t>
  </si>
  <si>
    <t xml:space="preserve">Employees shall receive the following hourly longevity based on a maximum of 80 hours bi-weekly:  </t>
  </si>
  <si>
    <t>Safety Shoes</t>
  </si>
  <si>
    <t xml:space="preserve">Effective October 1, 2016, a Safety Shoe Expense of $0.067 per hour, for all hours worked, was added to the salary schedule for the purchase or repair of </t>
  </si>
  <si>
    <t xml:space="preserve">approved safety shoes, including items that are designed to increase the life or comfort of the shoes. Effective October 1, 2022 an additional $0.03 per hour was added </t>
  </si>
  <si>
    <t>bringing the effective total to $0.10 per hour for such expenses.</t>
  </si>
  <si>
    <t>IncrPerc2023</t>
  </si>
  <si>
    <t>Effective October 1, 2023</t>
  </si>
  <si>
    <t>IncrPerc2024</t>
  </si>
  <si>
    <t>Effective January 1, 2024</t>
  </si>
  <si>
    <t>2% Market Adjustment + Select Market Adjustments</t>
  </si>
  <si>
    <t>Last Updated April 4, 2025</t>
  </si>
  <si>
    <t>11</t>
  </si>
  <si>
    <t>59476C</t>
  </si>
  <si>
    <t>Operating Maintenance Engineer Assistant</t>
  </si>
  <si>
    <t>12</t>
  </si>
  <si>
    <t>IncrPercJan2024</t>
  </si>
  <si>
    <t>Effective October 1, 2024</t>
  </si>
  <si>
    <t>4.5% Increase</t>
  </si>
  <si>
    <t>Date</t>
  </si>
  <si>
    <t>By</t>
  </si>
  <si>
    <t>Comments</t>
  </si>
  <si>
    <t>?</t>
  </si>
  <si>
    <t>Brenda</t>
  </si>
  <si>
    <t xml:space="preserve">Effective on October 1, 2019
*Increased the hourly wage in all classes by 2.5% per hour
*Increased the shift differential pay by 2.5% per hour
*Increased the certification pay by $0.50 per hour
*Increased the longevity pay by 2.5% per hour
*License now includes Power Limited License
Note that Safety Shoe allowance was rolled into the base wage on October 2, 2016. </t>
  </si>
  <si>
    <t xml:space="preserve">Effective on October 1, 2020
*Increased the hourly wage in all classes by 2.5% per hour
*Increased the shift differential pay by 2.5% per hour
*Increased the certification pay by $0.50 per hour
*Increased the longevity pay by 2.5% per hour
Note that Safety Shoe allowance was rolled into the base wage on October 2, 2016. </t>
  </si>
  <si>
    <t xml:space="preserve">Effective ON October 1, 2021
*Increased the hourly wage in all classes by 2.5% per hour
*Increased the shift differential pay by 2.5% per hour
*Increased the certification pay by $0.50 per hour
*Increased the longevity pay by 2.5% per hour
Note that Safety Shoe allowance was rolled into the base wage on October 2, 2016. </t>
  </si>
  <si>
    <t>Added 3/29/2020 tab and changed the fire extinguisher premium effective on March 29, to reflect that the fire extinguisher premium is available to up to 3 engineers (was one engineer) and changed the rate $0.25 per hour.</t>
  </si>
  <si>
    <t>Corrected class grade for Property Srv Opr Mtc Eng III (Stat Eng III) from 5 to 7</t>
  </si>
  <si>
    <t>Corrected 3/29/2020 tab so that it has the same rates as the 10/1/19 rates except for the fire extinguisher change</t>
  </si>
  <si>
    <t>Changed grade/points/rate for Operating Maintenance Engineer II per reclassification study</t>
  </si>
  <si>
    <t>Erick</t>
  </si>
  <si>
    <t>Added Operating Maintenance Engineer Assistant</t>
  </si>
  <si>
    <t>Updated Water Maintenance Technician</t>
  </si>
  <si>
    <t>X</t>
  </si>
  <si>
    <t>IncrPercOct2025</t>
  </si>
  <si>
    <t>IncrPercOct2026</t>
  </si>
  <si>
    <t>IncrPercOct2027</t>
  </si>
  <si>
    <t>Effective October 1, 2025</t>
  </si>
  <si>
    <t>Effective October 1, 2026</t>
  </si>
  <si>
    <t>Last Updated December 18, 2025</t>
  </si>
  <si>
    <t>4.0% Increase</t>
  </si>
  <si>
    <t>3.0% Increase</t>
  </si>
  <si>
    <t>Effective October 1, 2027</t>
  </si>
  <si>
    <t>OME Training Prem</t>
  </si>
  <si>
    <t>CSENIT</t>
  </si>
  <si>
    <t xml:space="preserve">11pm - 7am shift Prop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</si>
</sst>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8" formatCode="&quot;$&quot;#,##0.00_);[Red]\(&quot;$&quot;#,##0.00\)"/>
    <numFmt numFmtId="44" formatCode="_(&quot;$&quot;* #,##0.00_);_(&quot;$&quot;* \(#,##0.00\);_(&quot;$&quot;* &quot;-&quot;??_);_(@_)"/>
    <numFmt numFmtId="164" formatCode="General_)"/>
    <numFmt numFmtId="165" formatCode="#,##0.000"/>
    <numFmt numFmtId="166" formatCode="0.000"/>
    <numFmt numFmtId="167" formatCode="&quot;$&quot;#,##0.000"/>
    <numFmt numFmtId="168" formatCode="&quot;$&quot;#,##0.00"/>
    <numFmt numFmtId="169" formatCode="0.000%"/>
  </numFmts>
  <fonts count="28" x14ac:knownFonts="1">
    <font>
      <sz val="10"/>
      <name val="Arial"/>
      <family val="2"/>
    </font>
    <font>
      <sz val="12"/>
      <name val="Helv"/>
    </font>
    <font>
      <b/>
      <sz val="10"/>
      <name val="Arial"/>
      <family val="2"/>
    </font>
    <font>
      <sz val="10"/>
      <name val="Arial"/>
      <family val="2"/>
    </font>
    <font>
      <sz val="9"/>
      <color rgb="FF000000"/>
      <name val="Arial"/>
      <family val="2"/>
    </font>
    <font>
      <sz val="8"/>
      <name val="Arial"/>
      <family val="2"/>
    </font>
    <font>
      <b/>
      <sz val="10"/>
      <color rgb="FFFF0000"/>
      <name val="Arial"/>
      <family val="2"/>
    </font>
    <font>
      <sz val="10"/>
      <name val="MS Sans Serif"/>
      <family val="2"/>
    </font>
    <font>
      <b/>
      <sz val="10"/>
      <name val="MS Sans Serif"/>
      <family val="2"/>
    </font>
    <font>
      <b/>
      <sz val="8"/>
      <color indexed="81"/>
      <name val="Tahoma"/>
      <family val="2"/>
    </font>
    <font>
      <u/>
      <sz val="10"/>
      <name val="Arial"/>
      <family val="2"/>
    </font>
    <font>
      <sz val="8"/>
      <color indexed="81"/>
      <name val="Tahoma"/>
      <family val="2"/>
    </font>
    <font>
      <b/>
      <u/>
      <sz val="10"/>
      <name val="Arial"/>
      <family val="2"/>
    </font>
    <font>
      <sz val="9"/>
      <name val="Arial"/>
      <family val="2"/>
    </font>
    <font>
      <sz val="11"/>
      <name val="Calibri"/>
      <family val="2"/>
    </font>
    <font>
      <b/>
      <sz val="11"/>
      <name val="Calibri"/>
      <family val="2"/>
    </font>
    <font>
      <sz val="11"/>
      <color indexed="81"/>
      <name val="Calibri"/>
      <family val="2"/>
      <scheme val="minor"/>
    </font>
    <font>
      <b/>
      <sz val="12"/>
      <name val="Calibri"/>
      <family val="2"/>
      <scheme val="minor"/>
    </font>
    <font>
      <sz val="10"/>
      <name val="Calibri"/>
      <family val="2"/>
      <scheme val="minor"/>
    </font>
    <font>
      <b/>
      <sz val="10"/>
      <name val="Calibri"/>
      <family val="2"/>
      <scheme val="minor"/>
    </font>
    <font>
      <i/>
      <sz val="10"/>
      <name val="Calibri"/>
      <family val="2"/>
      <scheme val="minor"/>
    </font>
    <font>
      <sz val="8"/>
      <name val="Calibri"/>
      <family val="2"/>
      <scheme val="minor"/>
    </font>
    <font>
      <u/>
      <sz val="10"/>
      <name val="Calibri"/>
      <family val="2"/>
      <scheme val="minor"/>
    </font>
    <font>
      <b/>
      <u/>
      <sz val="10"/>
      <name val="Calibri"/>
      <family val="2"/>
      <scheme val="minor"/>
    </font>
    <font>
      <sz val="11"/>
      <name val="Calibri"/>
      <family val="2"/>
      <scheme val="minor"/>
    </font>
    <font>
      <b/>
      <sz val="11"/>
      <name val="Calibri"/>
      <family val="2"/>
      <scheme val="minor"/>
    </font>
    <font>
      <sz val="10"/>
      <color rgb="FFFF0000"/>
      <name val="Calibri"/>
      <family val="2"/>
      <scheme val="minor"/>
    </font>
    <font>
      <sz val="12"/>
      <name val="Times New Roman"/>
      <family val="1"/>
    </font>
  </fonts>
  <fills count="9">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6"/>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6" tint="0.79998168889431442"/>
        <bgColor indexed="64"/>
      </patternFill>
    </fill>
  </fills>
  <borders count="3">
    <border>
      <left/>
      <right/>
      <top/>
      <bottom/>
      <diagonal/>
    </border>
    <border>
      <left/>
      <right/>
      <top/>
      <bottom style="thin">
        <color indexed="64"/>
      </bottom>
      <diagonal/>
    </border>
    <border>
      <left/>
      <right/>
      <top/>
      <bottom style="medium">
        <color indexed="64"/>
      </bottom>
      <diagonal/>
    </border>
  </borders>
  <cellStyleXfs count="9">
    <xf numFmtId="0" fontId="0" fillId="0" borderId="0"/>
    <xf numFmtId="164" fontId="1" fillId="0" borderId="0"/>
    <xf numFmtId="0" fontId="7" fillId="0" borderId="0" applyNumberFormat="0" applyFont="0" applyFill="0" applyBorder="0" applyAlignment="0" applyProtection="0">
      <alignment horizontal="left"/>
    </xf>
    <xf numFmtId="15" fontId="7" fillId="0" borderId="0" applyFont="0" applyFill="0" applyBorder="0" applyAlignment="0" applyProtection="0"/>
    <xf numFmtId="4" fontId="7" fillId="0" borderId="0" applyFont="0" applyFill="0" applyBorder="0" applyAlignment="0" applyProtection="0"/>
    <xf numFmtId="0" fontId="8" fillId="0" borderId="2">
      <alignment horizontal="center"/>
    </xf>
    <xf numFmtId="3" fontId="7"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166">
    <xf numFmtId="0" fontId="0" fillId="0" borderId="0" xfId="0"/>
    <xf numFmtId="0" fontId="3" fillId="0" borderId="0" xfId="0" applyFont="1" applyFill="1" applyProtection="1">
      <protection hidden="1"/>
    </xf>
    <xf numFmtId="0" fontId="3" fillId="0" borderId="0" xfId="0" applyFont="1" applyFill="1" applyAlignment="1" applyProtection="1">
      <alignment horizontal="center"/>
      <protection hidden="1"/>
    </xf>
    <xf numFmtId="0" fontId="0" fillId="0" borderId="0" xfId="0" applyFill="1" applyProtection="1">
      <protection hidden="1"/>
    </xf>
    <xf numFmtId="0" fontId="2" fillId="0" borderId="0" xfId="0" applyFont="1" applyFill="1" applyProtection="1">
      <protection hidden="1"/>
    </xf>
    <xf numFmtId="0" fontId="2" fillId="0" borderId="0" xfId="0" applyFont="1" applyFill="1" applyAlignment="1" applyProtection="1">
      <alignment horizontal="center"/>
      <protection hidden="1"/>
    </xf>
    <xf numFmtId="164" fontId="3" fillId="0" borderId="0" xfId="1" applyFont="1" applyFill="1" applyAlignment="1" applyProtection="1">
      <alignment horizontal="center"/>
      <protection hidden="1"/>
    </xf>
    <xf numFmtId="164" fontId="3" fillId="0" borderId="0" xfId="1" applyFont="1" applyFill="1" applyAlignment="1" applyProtection="1">
      <alignment horizontal="left"/>
      <protection hidden="1"/>
    </xf>
    <xf numFmtId="165" fontId="3" fillId="0" borderId="0" xfId="0" applyNumberFormat="1" applyFont="1" applyFill="1" applyAlignment="1" applyProtection="1">
      <alignment horizontal="center"/>
      <protection hidden="1"/>
    </xf>
    <xf numFmtId="164" fontId="3" fillId="0" borderId="0" xfId="1" applyFont="1" applyFill="1" applyBorder="1" applyAlignment="1" applyProtection="1">
      <alignment horizontal="center"/>
      <protection hidden="1"/>
    </xf>
    <xf numFmtId="0" fontId="3" fillId="0" borderId="0" xfId="0" applyFont="1" applyFill="1" applyBorder="1" applyAlignment="1" applyProtection="1">
      <alignment horizontal="center"/>
      <protection hidden="1"/>
    </xf>
    <xf numFmtId="0" fontId="0" fillId="0" borderId="0" xfId="0" applyFill="1" applyBorder="1" applyProtection="1">
      <protection hidden="1"/>
    </xf>
    <xf numFmtId="0" fontId="2" fillId="0" borderId="1" xfId="0" applyFont="1" applyFill="1" applyBorder="1" applyAlignment="1" applyProtection="1">
      <alignment horizontal="left"/>
      <protection hidden="1"/>
    </xf>
    <xf numFmtId="0" fontId="3" fillId="0" borderId="1" xfId="0" applyFont="1" applyFill="1" applyBorder="1" applyProtection="1">
      <protection hidden="1"/>
    </xf>
    <xf numFmtId="0" fontId="3" fillId="0" borderId="1" xfId="0" applyFont="1" applyFill="1" applyBorder="1" applyAlignment="1" applyProtection="1">
      <alignment horizontal="center"/>
      <protection hidden="1"/>
    </xf>
    <xf numFmtId="164" fontId="3" fillId="0" borderId="0" xfId="1" applyFont="1" applyFill="1" applyProtection="1">
      <protection hidden="1"/>
    </xf>
    <xf numFmtId="164" fontId="0" fillId="0" borderId="1" xfId="1" applyFont="1" applyFill="1" applyBorder="1" applyAlignment="1" applyProtection="1">
      <alignment horizontal="left"/>
      <protection hidden="1"/>
    </xf>
    <xf numFmtId="0" fontId="0" fillId="0" borderId="0" xfId="0" applyFont="1" applyFill="1" applyProtection="1">
      <protection hidden="1"/>
    </xf>
    <xf numFmtId="0" fontId="10" fillId="0" borderId="0" xfId="0" applyFont="1" applyFill="1" applyProtection="1">
      <protection hidden="1"/>
    </xf>
    <xf numFmtId="0" fontId="4" fillId="0" borderId="0" xfId="0" applyFont="1" applyFill="1"/>
    <xf numFmtId="0" fontId="4" fillId="0" borderId="0" xfId="0" applyFont="1" applyFill="1" applyAlignment="1">
      <alignment horizontal="center"/>
    </xf>
    <xf numFmtId="49" fontId="0" fillId="0" borderId="0" xfId="0" applyNumberFormat="1" applyFill="1"/>
    <xf numFmtId="0" fontId="0" fillId="0" borderId="0" xfId="0" applyFill="1"/>
    <xf numFmtId="0" fontId="5" fillId="0" borderId="0" xfId="0" applyFont="1" applyFill="1" applyBorder="1" applyAlignment="1">
      <alignment vertical="center"/>
    </xf>
    <xf numFmtId="0" fontId="3" fillId="0" borderId="0" xfId="0" applyFont="1" applyFill="1" applyBorder="1" applyAlignment="1">
      <alignment vertical="center"/>
    </xf>
    <xf numFmtId="0" fontId="6" fillId="0" borderId="0" xfId="0" applyFont="1" applyFill="1" applyBorder="1" applyAlignment="1">
      <alignment vertical="center"/>
    </xf>
    <xf numFmtId="8" fontId="3" fillId="0" borderId="0" xfId="0" applyNumberFormat="1" applyFont="1" applyFill="1" applyProtection="1">
      <protection hidden="1"/>
    </xf>
    <xf numFmtId="164" fontId="0" fillId="0" borderId="0" xfId="1" applyFont="1" applyFill="1" applyBorder="1" applyAlignment="1" applyProtection="1">
      <alignment horizontal="left"/>
      <protection hidden="1"/>
    </xf>
    <xf numFmtId="0" fontId="3" fillId="0" borderId="0" xfId="0" applyFont="1" applyFill="1" applyBorder="1" applyProtection="1">
      <protection hidden="1"/>
    </xf>
    <xf numFmtId="164" fontId="12" fillId="0" borderId="0" xfId="1" applyFont="1" applyFill="1" applyAlignment="1" applyProtection="1">
      <alignment horizontal="left"/>
      <protection hidden="1"/>
    </xf>
    <xf numFmtId="8" fontId="3" fillId="0" borderId="0" xfId="0" applyNumberFormat="1" applyFont="1" applyFill="1" applyAlignment="1" applyProtection="1">
      <alignment horizontal="center"/>
      <protection hidden="1"/>
    </xf>
    <xf numFmtId="166" fontId="3" fillId="0" borderId="0" xfId="0" applyNumberFormat="1" applyFont="1" applyFill="1" applyProtection="1">
      <protection hidden="1"/>
    </xf>
    <xf numFmtId="0" fontId="13" fillId="0" borderId="0" xfId="0" applyFont="1" applyFill="1"/>
    <xf numFmtId="0" fontId="13" fillId="0" borderId="0" xfId="0" applyFont="1" applyFill="1" applyAlignment="1">
      <alignment horizontal="center"/>
    </xf>
    <xf numFmtId="49" fontId="3" fillId="0" borderId="0" xfId="0" applyNumberFormat="1" applyFont="1" applyFill="1"/>
    <xf numFmtId="0" fontId="3" fillId="0" borderId="0" xfId="0" applyFont="1" applyFill="1"/>
    <xf numFmtId="0" fontId="2" fillId="0" borderId="0" xfId="0" applyFont="1" applyFill="1" applyBorder="1" applyAlignment="1">
      <alignment vertical="center"/>
    </xf>
    <xf numFmtId="164" fontId="3" fillId="0" borderId="0" xfId="1" applyFont="1" applyFill="1" applyBorder="1" applyAlignment="1" applyProtection="1">
      <alignment horizontal="left"/>
      <protection hidden="1"/>
    </xf>
    <xf numFmtId="8" fontId="3" fillId="0" borderId="0" xfId="0" applyNumberFormat="1" applyFont="1" applyFill="1" applyAlignment="1" applyProtection="1">
      <alignment horizontal="right"/>
      <protection hidden="1"/>
    </xf>
    <xf numFmtId="0" fontId="0" fillId="0" borderId="0" xfId="0" applyFont="1" applyFill="1" applyAlignment="1" applyProtection="1">
      <alignment horizontal="left"/>
      <protection hidden="1"/>
    </xf>
    <xf numFmtId="0" fontId="0" fillId="0" borderId="0" xfId="0" applyFont="1" applyFill="1" applyAlignment="1" applyProtection="1">
      <alignment horizontal="right"/>
      <protection hidden="1"/>
    </xf>
    <xf numFmtId="0" fontId="3" fillId="0" borderId="0" xfId="0" applyFont="1" applyFill="1" applyAlignment="1" applyProtection="1">
      <alignment horizontal="right"/>
      <protection hidden="1"/>
    </xf>
    <xf numFmtId="164" fontId="0" fillId="0" borderId="0" xfId="1" applyFont="1" applyFill="1" applyAlignment="1" applyProtection="1">
      <alignment horizontal="center"/>
      <protection hidden="1"/>
    </xf>
    <xf numFmtId="0" fontId="15" fillId="0" borderId="0" xfId="0" applyFont="1" applyAlignment="1">
      <alignment vertical="center"/>
    </xf>
    <xf numFmtId="0" fontId="14" fillId="0" borderId="0" xfId="0" applyFont="1" applyAlignment="1">
      <alignment vertical="center"/>
    </xf>
    <xf numFmtId="164" fontId="2" fillId="2" borderId="0" xfId="1" applyFont="1" applyFill="1" applyAlignment="1" applyProtection="1">
      <alignment horizontal="left"/>
      <protection hidden="1"/>
    </xf>
    <xf numFmtId="0" fontId="3" fillId="2" borderId="0" xfId="0" applyFont="1" applyFill="1" applyProtection="1">
      <protection hidden="1"/>
    </xf>
    <xf numFmtId="0" fontId="3" fillId="2" borderId="0" xfId="0" applyFont="1" applyFill="1" applyAlignment="1" applyProtection="1">
      <alignment horizontal="center"/>
      <protection hidden="1"/>
    </xf>
    <xf numFmtId="0" fontId="2" fillId="2" borderId="0" xfId="0" applyFont="1" applyFill="1" applyProtection="1">
      <protection hidden="1"/>
    </xf>
    <xf numFmtId="0" fontId="15" fillId="2" borderId="0" xfId="0" applyFont="1" applyFill="1" applyAlignment="1">
      <alignment vertical="center"/>
    </xf>
    <xf numFmtId="0" fontId="14" fillId="2" borderId="0" xfId="0" applyFont="1" applyFill="1" applyAlignment="1">
      <alignment vertical="center"/>
    </xf>
    <xf numFmtId="0" fontId="12" fillId="0" borderId="0" xfId="0" applyFont="1" applyFill="1" applyProtection="1">
      <protection hidden="1"/>
    </xf>
    <xf numFmtId="49" fontId="0" fillId="0" borderId="0" xfId="0" applyNumberFormat="1" applyFont="1" applyFill="1" applyAlignment="1" applyProtection="1">
      <alignment horizontal="center"/>
      <protection hidden="1"/>
    </xf>
    <xf numFmtId="165" fontId="3" fillId="3" borderId="0" xfId="0" applyNumberFormat="1" applyFont="1" applyFill="1" applyAlignment="1" applyProtection="1">
      <alignment horizontal="center"/>
      <protection hidden="1"/>
    </xf>
    <xf numFmtId="0" fontId="0" fillId="3" borderId="0" xfId="0" applyFont="1" applyFill="1" applyProtection="1">
      <protection hidden="1"/>
    </xf>
    <xf numFmtId="0" fontId="0" fillId="0" borderId="0" xfId="0" applyFont="1" applyFill="1" applyAlignment="1" applyProtection="1">
      <alignment horizontal="center"/>
      <protection hidden="1"/>
    </xf>
    <xf numFmtId="167" fontId="3" fillId="0" borderId="0" xfId="7" applyNumberFormat="1" applyFont="1" applyFill="1" applyAlignment="1" applyProtection="1">
      <alignment horizontal="center"/>
      <protection hidden="1"/>
    </xf>
    <xf numFmtId="0" fontId="0" fillId="0" borderId="0" xfId="0" applyAlignment="1">
      <alignment wrapText="1"/>
    </xf>
    <xf numFmtId="14" fontId="0" fillId="0" borderId="0" xfId="0" applyNumberFormat="1"/>
    <xf numFmtId="0" fontId="5" fillId="0" borderId="0" xfId="0" applyFont="1" applyFill="1" applyBorder="1" applyAlignment="1" applyProtection="1">
      <alignment vertical="center"/>
      <protection hidden="1"/>
    </xf>
    <xf numFmtId="0" fontId="3" fillId="0" borderId="0" xfId="0"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49" fontId="3" fillId="0" borderId="0" xfId="0" applyNumberFormat="1" applyFont="1" applyFill="1" applyProtection="1">
      <protection hidden="1"/>
    </xf>
    <xf numFmtId="0" fontId="14" fillId="0" borderId="0" xfId="0" applyFont="1" applyFill="1" applyProtection="1">
      <protection hidden="1"/>
    </xf>
    <xf numFmtId="0" fontId="15" fillId="0" borderId="0" xfId="0" applyFont="1" applyFill="1" applyAlignment="1" applyProtection="1">
      <alignment vertical="center"/>
      <protection hidden="1"/>
    </xf>
    <xf numFmtId="0" fontId="14" fillId="0" borderId="0" xfId="0" applyFont="1" applyFill="1" applyAlignment="1" applyProtection="1">
      <alignment vertical="center"/>
      <protection hidden="1"/>
    </xf>
    <xf numFmtId="0" fontId="3" fillId="4" borderId="0" xfId="0" applyFont="1" applyFill="1" applyProtection="1">
      <protection hidden="1"/>
    </xf>
    <xf numFmtId="166" fontId="3" fillId="4" borderId="0" xfId="0" applyNumberFormat="1" applyFont="1" applyFill="1" applyProtection="1">
      <protection hidden="1"/>
    </xf>
    <xf numFmtId="49" fontId="3" fillId="4" borderId="0" xfId="0" applyNumberFormat="1" applyFont="1" applyFill="1" applyProtection="1">
      <protection hidden="1"/>
    </xf>
    <xf numFmtId="0" fontId="2" fillId="4" borderId="0" xfId="0" applyFont="1" applyFill="1" applyProtection="1">
      <protection hidden="1"/>
    </xf>
    <xf numFmtId="164" fontId="3" fillId="4" borderId="0" xfId="0" applyNumberFormat="1" applyFont="1" applyFill="1" applyProtection="1">
      <protection hidden="1"/>
    </xf>
    <xf numFmtId="168" fontId="3" fillId="4" borderId="0" xfId="0" applyNumberFormat="1" applyFont="1" applyFill="1" applyProtection="1">
      <protection hidden="1"/>
    </xf>
    <xf numFmtId="168" fontId="2" fillId="4" borderId="0" xfId="0" applyNumberFormat="1" applyFont="1" applyFill="1" applyProtection="1">
      <protection hidden="1"/>
    </xf>
    <xf numFmtId="168" fontId="0" fillId="4" borderId="0" xfId="0" applyNumberFormat="1" applyFont="1" applyFill="1" applyProtection="1">
      <protection hidden="1"/>
    </xf>
    <xf numFmtId="167" fontId="3" fillId="4" borderId="0" xfId="0" applyNumberFormat="1" applyFont="1" applyFill="1" applyProtection="1">
      <protection hidden="1"/>
    </xf>
    <xf numFmtId="49" fontId="2" fillId="4" borderId="0" xfId="0" applyNumberFormat="1" applyFont="1" applyFill="1" applyProtection="1">
      <protection hidden="1"/>
    </xf>
    <xf numFmtId="49" fontId="0" fillId="4" borderId="0" xfId="0" applyNumberFormat="1" applyFont="1" applyFill="1" applyProtection="1">
      <protection hidden="1"/>
    </xf>
    <xf numFmtId="164" fontId="17" fillId="0" borderId="0" xfId="1" applyFont="1" applyFill="1" applyAlignment="1" applyProtection="1">
      <alignment horizontal="left"/>
      <protection hidden="1"/>
    </xf>
    <xf numFmtId="0" fontId="18" fillId="0" borderId="0" xfId="0" applyFont="1" applyFill="1" applyProtection="1">
      <protection hidden="1"/>
    </xf>
    <xf numFmtId="0" fontId="18" fillId="0" borderId="0" xfId="0" applyFont="1" applyFill="1" applyAlignment="1" applyProtection="1">
      <alignment horizontal="center"/>
      <protection hidden="1"/>
    </xf>
    <xf numFmtId="0" fontId="18" fillId="5" borderId="0" xfId="0" applyFont="1" applyFill="1" applyProtection="1">
      <protection hidden="1"/>
    </xf>
    <xf numFmtId="49" fontId="18" fillId="5" borderId="0" xfId="0" applyNumberFormat="1" applyFont="1" applyFill="1" applyProtection="1">
      <protection hidden="1"/>
    </xf>
    <xf numFmtId="10" fontId="18" fillId="5" borderId="0" xfId="8" applyNumberFormat="1" applyFont="1" applyFill="1" applyProtection="1">
      <protection hidden="1"/>
    </xf>
    <xf numFmtId="0" fontId="18" fillId="4" borderId="0" xfId="0" applyFont="1" applyFill="1" applyProtection="1">
      <protection hidden="1"/>
    </xf>
    <xf numFmtId="168" fontId="18" fillId="5" borderId="0" xfId="0" applyNumberFormat="1" applyFont="1" applyFill="1" applyProtection="1">
      <protection hidden="1"/>
    </xf>
    <xf numFmtId="164" fontId="20" fillId="0" borderId="0" xfId="1" applyFont="1" applyFill="1" applyAlignment="1" applyProtection="1">
      <alignment horizontal="left"/>
      <protection hidden="1"/>
    </xf>
    <xf numFmtId="0" fontId="19" fillId="0" borderId="0" xfId="0" applyFont="1" applyFill="1" applyProtection="1">
      <protection hidden="1"/>
    </xf>
    <xf numFmtId="0" fontId="19" fillId="0" borderId="1" xfId="0" applyFont="1" applyFill="1" applyBorder="1" applyAlignment="1" applyProtection="1">
      <alignment horizontal="center" wrapText="1"/>
      <protection hidden="1"/>
    </xf>
    <xf numFmtId="0" fontId="19" fillId="0" borderId="1" xfId="0" applyFont="1" applyFill="1" applyBorder="1" applyProtection="1">
      <protection hidden="1"/>
    </xf>
    <xf numFmtId="0" fontId="19" fillId="0" borderId="1" xfId="0" applyFont="1" applyFill="1" applyBorder="1" applyAlignment="1" applyProtection="1">
      <alignment horizontal="center"/>
      <protection hidden="1"/>
    </xf>
    <xf numFmtId="166" fontId="18" fillId="5" borderId="0" xfId="0" applyNumberFormat="1" applyFont="1" applyFill="1" applyProtection="1">
      <protection hidden="1"/>
    </xf>
    <xf numFmtId="166" fontId="18" fillId="4" borderId="0" xfId="0" applyNumberFormat="1" applyFont="1" applyFill="1" applyProtection="1">
      <protection hidden="1"/>
    </xf>
    <xf numFmtId="49" fontId="18" fillId="4" borderId="0" xfId="0" applyNumberFormat="1" applyFont="1" applyFill="1" applyProtection="1">
      <protection hidden="1"/>
    </xf>
    <xf numFmtId="168" fontId="18" fillId="4" borderId="0" xfId="0" applyNumberFormat="1" applyFont="1" applyFill="1" applyProtection="1">
      <protection hidden="1"/>
    </xf>
    <xf numFmtId="164" fontId="18" fillId="0" borderId="0" xfId="1" applyFont="1" applyFill="1" applyAlignment="1" applyProtection="1">
      <alignment horizontal="center"/>
      <protection hidden="1"/>
    </xf>
    <xf numFmtId="49" fontId="18" fillId="0" borderId="0" xfId="0" applyNumberFormat="1" applyFont="1" applyFill="1" applyAlignment="1" applyProtection="1">
      <alignment horizontal="center"/>
      <protection hidden="1"/>
    </xf>
    <xf numFmtId="164" fontId="18" fillId="0" borderId="0" xfId="1" applyFont="1" applyFill="1" applyAlignment="1" applyProtection="1">
      <alignment horizontal="left"/>
      <protection hidden="1"/>
    </xf>
    <xf numFmtId="167" fontId="18" fillId="0" borderId="0" xfId="7" applyNumberFormat="1" applyFont="1" applyFill="1" applyAlignment="1" applyProtection="1">
      <alignment horizontal="center"/>
      <protection hidden="1"/>
    </xf>
    <xf numFmtId="164" fontId="18" fillId="0" borderId="0" xfId="0" applyNumberFormat="1" applyFont="1" applyFill="1" applyProtection="1">
      <protection hidden="1"/>
    </xf>
    <xf numFmtId="164" fontId="18" fillId="5" borderId="0" xfId="0" applyNumberFormat="1" applyFont="1" applyFill="1" applyProtection="1">
      <protection hidden="1"/>
    </xf>
    <xf numFmtId="167" fontId="18" fillId="5" borderId="0" xfId="0" applyNumberFormat="1" applyFont="1" applyFill="1" applyProtection="1">
      <protection hidden="1"/>
    </xf>
    <xf numFmtId="164" fontId="18" fillId="4" borderId="0" xfId="0" applyNumberFormat="1" applyFont="1" applyFill="1" applyProtection="1">
      <protection hidden="1"/>
    </xf>
    <xf numFmtId="167" fontId="18" fillId="4" borderId="0" xfId="0" applyNumberFormat="1" applyFont="1" applyFill="1" applyProtection="1">
      <protection hidden="1"/>
    </xf>
    <xf numFmtId="0" fontId="19" fillId="0" borderId="0" xfId="0" applyFont="1" applyFill="1" applyAlignment="1" applyProtection="1">
      <alignment horizontal="center"/>
      <protection hidden="1"/>
    </xf>
    <xf numFmtId="0" fontId="21" fillId="0" borderId="0" xfId="0" applyFont="1" applyFill="1" applyBorder="1" applyAlignment="1" applyProtection="1">
      <alignment vertical="center"/>
      <protection hidden="1"/>
    </xf>
    <xf numFmtId="0" fontId="18" fillId="0" borderId="0" xfId="0" applyFont="1" applyFill="1" applyBorder="1" applyAlignment="1" applyProtection="1">
      <alignment vertical="center"/>
      <protection hidden="1"/>
    </xf>
    <xf numFmtId="0" fontId="19" fillId="0" borderId="0" xfId="0" applyFont="1" applyFill="1" applyBorder="1" applyAlignment="1" applyProtection="1">
      <alignment vertical="center"/>
      <protection hidden="1"/>
    </xf>
    <xf numFmtId="49" fontId="18" fillId="0" borderId="0" xfId="0" applyNumberFormat="1" applyFont="1" applyFill="1" applyProtection="1">
      <protection hidden="1"/>
    </xf>
    <xf numFmtId="164" fontId="18" fillId="0" borderId="0" xfId="1" applyFont="1" applyFill="1" applyAlignment="1" applyProtection="1">
      <alignment horizontal="left" indent="1"/>
      <protection hidden="1"/>
    </xf>
    <xf numFmtId="8" fontId="18" fillId="0" borderId="0" xfId="0" applyNumberFormat="1" applyFont="1" applyFill="1" applyProtection="1">
      <protection hidden="1"/>
    </xf>
    <xf numFmtId="164" fontId="23" fillId="0" borderId="0" xfId="1" applyFont="1" applyFill="1" applyAlignment="1" applyProtection="1">
      <alignment horizontal="left"/>
      <protection hidden="1"/>
    </xf>
    <xf numFmtId="0" fontId="24" fillId="0" borderId="0" xfId="0" applyFont="1" applyFill="1" applyProtection="1">
      <protection hidden="1"/>
    </xf>
    <xf numFmtId="0" fontId="24" fillId="5" borderId="0" xfId="0" applyFont="1" applyFill="1" applyProtection="1">
      <protection hidden="1"/>
    </xf>
    <xf numFmtId="8" fontId="18" fillId="0" borderId="0" xfId="0" applyNumberFormat="1" applyFont="1" applyFill="1" applyAlignment="1" applyProtection="1">
      <alignment horizontal="right"/>
      <protection hidden="1"/>
    </xf>
    <xf numFmtId="49" fontId="19" fillId="5" borderId="0" xfId="0" applyNumberFormat="1" applyFont="1" applyFill="1" applyProtection="1">
      <protection hidden="1"/>
    </xf>
    <xf numFmtId="168" fontId="19" fillId="5" borderId="0" xfId="0" applyNumberFormat="1" applyFont="1" applyFill="1" applyProtection="1">
      <protection hidden="1"/>
    </xf>
    <xf numFmtId="0" fontId="19" fillId="5" borderId="0" xfId="0" applyFont="1" applyFill="1" applyProtection="1">
      <protection hidden="1"/>
    </xf>
    <xf numFmtId="8" fontId="18" fillId="0" borderId="0" xfId="0" applyNumberFormat="1" applyFont="1" applyFill="1" applyAlignment="1" applyProtection="1">
      <alignment horizontal="left" indent="1"/>
      <protection hidden="1"/>
    </xf>
    <xf numFmtId="0" fontId="18" fillId="0" borderId="0" xfId="0" applyFont="1" applyFill="1" applyAlignment="1" applyProtection="1">
      <alignment horizontal="left" indent="1"/>
      <protection hidden="1"/>
    </xf>
    <xf numFmtId="0" fontId="24" fillId="0" borderId="0" xfId="0" applyFont="1" applyFill="1" applyAlignment="1" applyProtection="1">
      <alignment horizontal="left" vertical="center" indent="1"/>
      <protection hidden="1"/>
    </xf>
    <xf numFmtId="0" fontId="18" fillId="0" borderId="0" xfId="0" applyFont="1" applyFill="1" applyAlignment="1" applyProtection="1">
      <alignment horizontal="left"/>
      <protection hidden="1"/>
    </xf>
    <xf numFmtId="164" fontId="18" fillId="0" borderId="0" xfId="1" applyFont="1" applyFill="1" applyBorder="1" applyAlignment="1" applyProtection="1">
      <alignment horizontal="left" indent="1"/>
      <protection hidden="1"/>
    </xf>
    <xf numFmtId="164" fontId="18" fillId="0" borderId="0" xfId="1" applyFont="1" applyFill="1" applyBorder="1" applyAlignment="1" applyProtection="1">
      <alignment horizontal="left"/>
      <protection hidden="1"/>
    </xf>
    <xf numFmtId="164" fontId="18" fillId="0" borderId="0" xfId="1" applyFont="1" applyFill="1" applyProtection="1">
      <protection hidden="1"/>
    </xf>
    <xf numFmtId="0" fontId="22" fillId="0" borderId="0" xfId="0" applyFont="1" applyFill="1" applyProtection="1">
      <protection hidden="1"/>
    </xf>
    <xf numFmtId="165" fontId="18" fillId="0" borderId="0" xfId="0" applyNumberFormat="1" applyFont="1" applyFill="1" applyAlignment="1" applyProtection="1">
      <alignment horizontal="center"/>
      <protection hidden="1"/>
    </xf>
    <xf numFmtId="0" fontId="23" fillId="0" borderId="0" xfId="0" applyFont="1" applyFill="1" applyProtection="1">
      <protection hidden="1"/>
    </xf>
    <xf numFmtId="0" fontId="18" fillId="5" borderId="0" xfId="0" applyFont="1" applyFill="1" applyAlignment="1" applyProtection="1">
      <alignment horizontal="left"/>
      <protection hidden="1"/>
    </xf>
    <xf numFmtId="10" fontId="18" fillId="4" borderId="0" xfId="8" applyNumberFormat="1" applyFont="1" applyFill="1" applyProtection="1">
      <protection hidden="1"/>
    </xf>
    <xf numFmtId="49" fontId="19" fillId="4" borderId="0" xfId="0" applyNumberFormat="1" applyFont="1" applyFill="1" applyProtection="1">
      <protection hidden="1"/>
    </xf>
    <xf numFmtId="168" fontId="19" fillId="4" borderId="0" xfId="0" applyNumberFormat="1" applyFont="1" applyFill="1" applyProtection="1">
      <protection hidden="1"/>
    </xf>
    <xf numFmtId="8" fontId="18" fillId="0" borderId="0" xfId="0" applyNumberFormat="1" applyFont="1" applyFill="1" applyAlignment="1" applyProtection="1">
      <alignment horizontal="center"/>
      <protection hidden="1"/>
    </xf>
    <xf numFmtId="0" fontId="25" fillId="0" borderId="0" xfId="0" applyFont="1" applyFill="1" applyAlignment="1" applyProtection="1">
      <alignment vertical="center"/>
      <protection hidden="1"/>
    </xf>
    <xf numFmtId="0" fontId="24" fillId="0" borderId="0" xfId="0" applyFont="1" applyFill="1" applyAlignment="1" applyProtection="1">
      <alignment vertical="center"/>
      <protection hidden="1"/>
    </xf>
    <xf numFmtId="167" fontId="18" fillId="0" borderId="0" xfId="0" applyNumberFormat="1" applyFont="1" applyFill="1" applyProtection="1">
      <protection hidden="1"/>
    </xf>
    <xf numFmtId="0" fontId="19" fillId="4" borderId="0" xfId="0" applyFont="1" applyFill="1" applyProtection="1">
      <protection hidden="1"/>
    </xf>
    <xf numFmtId="0" fontId="18" fillId="4" borderId="0" xfId="0" applyFont="1" applyFill="1" applyAlignment="1" applyProtection="1">
      <alignment horizontal="left"/>
      <protection hidden="1"/>
    </xf>
    <xf numFmtId="164" fontId="23" fillId="0" borderId="0" xfId="1" applyFont="1" applyFill="1" applyAlignment="1" applyProtection="1">
      <alignment horizontal="center"/>
      <protection hidden="1"/>
    </xf>
    <xf numFmtId="164" fontId="19" fillId="0" borderId="0" xfId="1" applyFont="1" applyFill="1" applyAlignment="1" applyProtection="1">
      <alignment horizontal="left" indent="1"/>
      <protection hidden="1"/>
    </xf>
    <xf numFmtId="164" fontId="18" fillId="0" borderId="0" xfId="1" applyFont="1" applyFill="1" applyAlignment="1" applyProtection="1">
      <alignment horizontal="left" indent="2"/>
      <protection hidden="1"/>
    </xf>
    <xf numFmtId="164" fontId="19" fillId="0" borderId="0" xfId="1" applyFont="1" applyFill="1" applyAlignment="1" applyProtection="1">
      <alignment horizontal="left" indent="3"/>
      <protection hidden="1"/>
    </xf>
    <xf numFmtId="168" fontId="18" fillId="0" borderId="0" xfId="0" applyNumberFormat="1" applyFont="1" applyFill="1" applyProtection="1">
      <protection hidden="1"/>
    </xf>
    <xf numFmtId="169" fontId="18" fillId="0" borderId="0" xfId="8" applyNumberFormat="1" applyFont="1" applyFill="1" applyProtection="1">
      <protection hidden="1"/>
    </xf>
    <xf numFmtId="0" fontId="18" fillId="6" borderId="0" xfId="0" applyFont="1" applyFill="1" applyProtection="1">
      <protection hidden="1"/>
    </xf>
    <xf numFmtId="0" fontId="19" fillId="6" borderId="0" xfId="0" applyFont="1" applyFill="1" applyProtection="1">
      <protection hidden="1"/>
    </xf>
    <xf numFmtId="167" fontId="19" fillId="0" borderId="0" xfId="0" applyNumberFormat="1" applyFont="1" applyFill="1" applyAlignment="1" applyProtection="1">
      <alignment horizontal="center"/>
      <protection hidden="1"/>
    </xf>
    <xf numFmtId="0" fontId="18" fillId="0" borderId="0" xfId="0" applyFont="1" applyFill="1" applyAlignment="1" applyProtection="1">
      <alignment horizontal="left" vertical="center" indent="1"/>
      <protection hidden="1"/>
    </xf>
    <xf numFmtId="0" fontId="17" fillId="0" borderId="0" xfId="0" applyFont="1" applyFill="1" applyProtection="1">
      <protection hidden="1"/>
    </xf>
    <xf numFmtId="164" fontId="0" fillId="0" borderId="0" xfId="1" applyFont="1" applyFill="1" applyAlignment="1" applyProtection="1">
      <alignment horizontal="left"/>
      <protection hidden="1"/>
    </xf>
    <xf numFmtId="164" fontId="2" fillId="0" borderId="0" xfId="1" applyFont="1" applyFill="1" applyAlignment="1" applyProtection="1">
      <alignment horizontal="left"/>
      <protection hidden="1"/>
    </xf>
    <xf numFmtId="164" fontId="19" fillId="0" borderId="0" xfId="1" applyFont="1" applyFill="1" applyAlignment="1" applyProtection="1">
      <alignment horizontal="left"/>
      <protection hidden="1"/>
    </xf>
    <xf numFmtId="164" fontId="19" fillId="0" borderId="0" xfId="1" applyFont="1" applyFill="1" applyAlignment="1" applyProtection="1">
      <alignment horizontal="left"/>
      <protection hidden="1"/>
    </xf>
    <xf numFmtId="164" fontId="26" fillId="0" borderId="0" xfId="0" applyNumberFormat="1" applyFont="1" applyFill="1" applyProtection="1">
      <protection hidden="1"/>
    </xf>
    <xf numFmtId="167" fontId="18" fillId="7" borderId="0" xfId="0" applyNumberFormat="1" applyFont="1" applyFill="1" applyProtection="1">
      <protection hidden="1"/>
    </xf>
    <xf numFmtId="0" fontId="18" fillId="7" borderId="0" xfId="0" applyFont="1" applyFill="1" applyProtection="1">
      <protection hidden="1"/>
    </xf>
    <xf numFmtId="49" fontId="18" fillId="7" borderId="0" xfId="0" applyNumberFormat="1" applyFont="1" applyFill="1" applyProtection="1">
      <protection hidden="1"/>
    </xf>
    <xf numFmtId="168" fontId="18" fillId="7" borderId="0" xfId="0" applyNumberFormat="1" applyFont="1" applyFill="1" applyProtection="1">
      <protection hidden="1"/>
    </xf>
    <xf numFmtId="10" fontId="18" fillId="0" borderId="0" xfId="8" applyNumberFormat="1" applyFont="1" applyFill="1" applyProtection="1">
      <protection hidden="1"/>
    </xf>
    <xf numFmtId="0" fontId="27" fillId="0" borderId="0" xfId="0" applyFont="1" applyAlignment="1">
      <alignment horizontal="left" vertical="center" indent="6"/>
    </xf>
    <xf numFmtId="0" fontId="18" fillId="0" borderId="0" xfId="0" applyFont="1" applyFill="1" applyAlignment="1" applyProtection="1">
      <alignment horizontal="right"/>
      <protection hidden="1"/>
    </xf>
    <xf numFmtId="0" fontId="18" fillId="2" borderId="0" xfId="0" applyFont="1" applyFill="1" applyProtection="1">
      <protection hidden="1"/>
    </xf>
    <xf numFmtId="49" fontId="18" fillId="2" borderId="0" xfId="0" applyNumberFormat="1" applyFont="1" applyFill="1" applyProtection="1">
      <protection hidden="1"/>
    </xf>
    <xf numFmtId="167" fontId="18" fillId="8" borderId="0" xfId="0" applyNumberFormat="1" applyFont="1" applyFill="1" applyProtection="1">
      <protection hidden="1"/>
    </xf>
    <xf numFmtId="164" fontId="0" fillId="0" borderId="0" xfId="1" applyFont="1" applyFill="1" applyAlignment="1" applyProtection="1">
      <alignment horizontal="left"/>
      <protection hidden="1"/>
    </xf>
    <xf numFmtId="164" fontId="2" fillId="0" borderId="0" xfId="1" applyFont="1" applyFill="1" applyAlignment="1" applyProtection="1">
      <alignment horizontal="left"/>
      <protection hidden="1"/>
    </xf>
    <xf numFmtId="164" fontId="19" fillId="0" borderId="0" xfId="1" applyFont="1" applyFill="1" applyAlignment="1" applyProtection="1">
      <alignment horizontal="left"/>
      <protection hidden="1"/>
    </xf>
  </cellXfs>
  <cellStyles count="9">
    <cellStyle name="Currency" xfId="7" builtinId="4"/>
    <cellStyle name="Normal" xfId="0" builtinId="0"/>
    <cellStyle name="Normal_95_97SAL" xfId="1" xr:uid="{00000000-0005-0000-0000-000001000000}"/>
    <cellStyle name="Percent" xfId="8" builtinId="5"/>
    <cellStyle name="PSChar" xfId="2" xr:uid="{00000000-0005-0000-0000-000002000000}"/>
    <cellStyle name="PSDate" xfId="3" xr:uid="{00000000-0005-0000-0000-000003000000}"/>
    <cellStyle name="PSDec" xfId="4" xr:uid="{00000000-0005-0000-0000-000004000000}"/>
    <cellStyle name="PSHeading" xfId="5" xr:uid="{00000000-0005-0000-0000-000005000000}"/>
    <cellStyle name="PSInt" xfId="6" xr:uid="{00000000-0005-0000-0000-000006000000}"/>
  </cellStyles>
  <dxfs count="0"/>
  <tableStyles count="1" defaultTableStyle="TableStyleMedium2" defaultPivotStyle="PivotStyleLight16">
    <tableStyle name="Invisible" pivot="0" table="0" count="0" xr9:uid="{08D19537-41B8-4877-861F-0378F73CCF6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8"/>
  <sheetViews>
    <sheetView topLeftCell="A16" workbookViewId="0">
      <selection activeCell="D66" sqref="D66"/>
    </sheetView>
  </sheetViews>
  <sheetFormatPr defaultColWidth="9.1328125" defaultRowHeight="12.75" x14ac:dyDescent="0.35"/>
  <cols>
    <col min="1" max="1" width="9.1328125" style="3"/>
    <col min="2" max="2" width="5.73046875" style="3" customWidth="1"/>
    <col min="3" max="3" width="9.1328125" style="3"/>
    <col min="4" max="4" width="36.265625" style="3" customWidth="1"/>
    <col min="5" max="5" width="4.73046875" style="3" customWidth="1"/>
    <col min="6" max="7" width="3.73046875" style="3" customWidth="1"/>
    <col min="8" max="8" width="9.1328125" style="3"/>
    <col min="9" max="9" width="12.1328125" style="3" customWidth="1"/>
    <col min="10" max="10" width="10.265625" style="3" customWidth="1"/>
    <col min="11" max="11" width="7.265625" style="3" customWidth="1"/>
    <col min="12" max="14" width="9.1328125" style="3"/>
    <col min="15" max="15" width="28.59765625" style="3" bestFit="1" customWidth="1"/>
    <col min="16" max="16384" width="9.1328125" style="3"/>
  </cols>
  <sheetData>
    <row r="1" spans="1:15" ht="13.15" x14ac:dyDescent="0.4">
      <c r="A1" s="149" t="s">
        <v>0</v>
      </c>
      <c r="B1" s="1"/>
      <c r="C1" s="1"/>
      <c r="D1" s="1"/>
      <c r="E1" s="1"/>
      <c r="F1" s="1"/>
      <c r="G1" s="1"/>
      <c r="H1" s="2"/>
      <c r="I1" s="1"/>
      <c r="J1" s="1"/>
    </row>
    <row r="2" spans="1:15" x14ac:dyDescent="0.35">
      <c r="B2" s="1"/>
      <c r="C2" s="1"/>
      <c r="D2" s="1"/>
      <c r="E2" s="1"/>
      <c r="F2" s="1"/>
      <c r="G2" s="1"/>
      <c r="H2" s="2"/>
      <c r="I2" s="1"/>
      <c r="J2" s="1"/>
    </row>
    <row r="3" spans="1:15" ht="13.15" x14ac:dyDescent="0.4">
      <c r="A3" s="149" t="s">
        <v>1</v>
      </c>
      <c r="B3" s="1"/>
      <c r="C3" s="1"/>
      <c r="D3" s="1"/>
      <c r="E3" s="1"/>
      <c r="F3" s="1"/>
      <c r="G3" s="1"/>
      <c r="H3" s="2"/>
      <c r="I3" s="1"/>
      <c r="J3" s="1"/>
    </row>
    <row r="4" spans="1:15" ht="13.15" x14ac:dyDescent="0.4">
      <c r="A4" s="5" t="s">
        <v>2</v>
      </c>
      <c r="B4" s="5" t="s">
        <v>3</v>
      </c>
      <c r="C4" s="4" t="s">
        <v>4</v>
      </c>
      <c r="D4" s="4" t="s">
        <v>5</v>
      </c>
      <c r="E4" s="5" t="s">
        <v>6</v>
      </c>
      <c r="F4" s="5" t="s">
        <v>7</v>
      </c>
      <c r="G4" s="5" t="s">
        <v>8</v>
      </c>
      <c r="H4" s="5" t="s">
        <v>9</v>
      </c>
      <c r="I4" s="1"/>
      <c r="J4" s="1"/>
    </row>
    <row r="5" spans="1:15" x14ac:dyDescent="0.35">
      <c r="A5" s="6" t="s">
        <v>10</v>
      </c>
      <c r="B5" s="2">
        <v>2</v>
      </c>
      <c r="C5" s="6" t="s">
        <v>11</v>
      </c>
      <c r="D5" s="7" t="s">
        <v>12</v>
      </c>
      <c r="E5" s="6">
        <v>253</v>
      </c>
      <c r="F5" s="6">
        <v>5</v>
      </c>
      <c r="G5" s="6" t="s">
        <v>13</v>
      </c>
      <c r="H5" s="8">
        <v>27.316076544000005</v>
      </c>
      <c r="I5" s="1"/>
      <c r="J5" s="1"/>
    </row>
    <row r="6" spans="1:15" x14ac:dyDescent="0.35">
      <c r="A6" s="6" t="s">
        <v>10</v>
      </c>
      <c r="B6" s="2">
        <v>2</v>
      </c>
      <c r="C6" s="6" t="s">
        <v>14</v>
      </c>
      <c r="D6" s="7" t="s">
        <v>15</v>
      </c>
      <c r="E6" s="6">
        <v>198</v>
      </c>
      <c r="F6" s="6">
        <v>4</v>
      </c>
      <c r="G6" s="6" t="s">
        <v>13</v>
      </c>
      <c r="H6" s="8">
        <v>26.197438464000005</v>
      </c>
      <c r="I6" s="1"/>
      <c r="J6" s="1"/>
    </row>
    <row r="7" spans="1:15" x14ac:dyDescent="0.35">
      <c r="A7" s="6" t="s">
        <v>10</v>
      </c>
      <c r="B7" s="2">
        <v>2</v>
      </c>
      <c r="C7" s="6" t="s">
        <v>16</v>
      </c>
      <c r="D7" s="7" t="s">
        <v>17</v>
      </c>
      <c r="E7" s="6">
        <v>258</v>
      </c>
      <c r="F7" s="6">
        <v>5</v>
      </c>
      <c r="G7" s="6" t="s">
        <v>13</v>
      </c>
      <c r="H7" s="8">
        <v>27.316076544000005</v>
      </c>
      <c r="I7" s="1"/>
      <c r="J7" s="1"/>
    </row>
    <row r="8" spans="1:15" x14ac:dyDescent="0.35">
      <c r="A8" s="6" t="s">
        <v>10</v>
      </c>
      <c r="B8" s="2">
        <v>2</v>
      </c>
      <c r="C8" s="6" t="s">
        <v>18</v>
      </c>
      <c r="D8" s="7" t="s">
        <v>19</v>
      </c>
      <c r="E8" s="6">
        <v>185</v>
      </c>
      <c r="F8" s="6">
        <v>4</v>
      </c>
      <c r="G8" s="6" t="s">
        <v>13</v>
      </c>
      <c r="H8" s="8">
        <v>26.197438464000005</v>
      </c>
      <c r="I8" s="1"/>
      <c r="J8" s="1"/>
    </row>
    <row r="9" spans="1:15" x14ac:dyDescent="0.35">
      <c r="A9" s="6" t="s">
        <v>10</v>
      </c>
      <c r="B9" s="2">
        <v>2</v>
      </c>
      <c r="C9" s="6" t="s">
        <v>20</v>
      </c>
      <c r="D9" s="7" t="s">
        <v>21</v>
      </c>
      <c r="E9" s="6">
        <v>245</v>
      </c>
      <c r="F9" s="6">
        <v>5</v>
      </c>
      <c r="G9" s="6" t="s">
        <v>13</v>
      </c>
      <c r="H9" s="8">
        <v>27.316076544000005</v>
      </c>
      <c r="I9" s="1"/>
      <c r="J9" s="1"/>
    </row>
    <row r="10" spans="1:15" x14ac:dyDescent="0.35">
      <c r="A10" s="6"/>
      <c r="B10" s="2"/>
      <c r="C10" s="6"/>
      <c r="D10" s="19"/>
      <c r="E10" s="6"/>
      <c r="F10" s="6"/>
      <c r="G10" s="6"/>
      <c r="H10" s="8"/>
      <c r="I10" s="1"/>
    </row>
    <row r="11" spans="1:15" ht="13.15" x14ac:dyDescent="0.4">
      <c r="A11" s="12"/>
      <c r="B11" s="13"/>
      <c r="C11" s="13"/>
      <c r="D11" s="13"/>
      <c r="E11" s="13"/>
      <c r="F11" s="13"/>
      <c r="G11" s="13"/>
      <c r="H11" s="14"/>
      <c r="I11" s="1"/>
      <c r="J11" s="1"/>
    </row>
    <row r="12" spans="1:15" ht="13.15" x14ac:dyDescent="0.4">
      <c r="A12" s="5" t="s">
        <v>2</v>
      </c>
      <c r="B12" s="5" t="s">
        <v>3</v>
      </c>
      <c r="C12" s="4" t="s">
        <v>4</v>
      </c>
      <c r="D12" s="4" t="s">
        <v>5</v>
      </c>
      <c r="E12" s="5" t="s">
        <v>6</v>
      </c>
      <c r="F12" s="5" t="s">
        <v>7</v>
      </c>
      <c r="G12" s="5" t="s">
        <v>8</v>
      </c>
      <c r="H12" s="5" t="s">
        <v>22</v>
      </c>
      <c r="I12" s="5" t="s">
        <v>23</v>
      </c>
      <c r="J12" s="5" t="s">
        <v>24</v>
      </c>
    </row>
    <row r="13" spans="1:15" x14ac:dyDescent="0.35">
      <c r="A13" s="6" t="s">
        <v>10</v>
      </c>
      <c r="B13" s="2">
        <v>2</v>
      </c>
      <c r="C13" s="9" t="s">
        <v>25</v>
      </c>
      <c r="D13" s="19" t="s">
        <v>26</v>
      </c>
      <c r="E13" s="20">
        <v>318</v>
      </c>
      <c r="F13" s="20">
        <v>7</v>
      </c>
      <c r="G13" s="20" t="s">
        <v>13</v>
      </c>
      <c r="H13" s="19"/>
      <c r="I13" s="19"/>
      <c r="J13" s="19"/>
    </row>
    <row r="14" spans="1:15" x14ac:dyDescent="0.35">
      <c r="A14" s="6"/>
      <c r="B14" s="2"/>
      <c r="C14" s="9"/>
      <c r="D14" s="19" t="s">
        <v>27</v>
      </c>
      <c r="E14" s="19"/>
      <c r="F14" s="19"/>
      <c r="G14" s="19"/>
      <c r="H14" s="8">
        <v>30.363033600000001</v>
      </c>
      <c r="I14" s="19"/>
      <c r="J14" s="19"/>
    </row>
    <row r="15" spans="1:15" x14ac:dyDescent="0.35">
      <c r="A15" s="6"/>
      <c r="B15" s="2"/>
      <c r="C15" s="9"/>
      <c r="D15" s="19" t="s">
        <v>28</v>
      </c>
      <c r="E15" s="19"/>
      <c r="F15" s="19"/>
      <c r="G15" s="19"/>
      <c r="H15" s="19"/>
      <c r="I15" s="8">
        <v>30.576107520000001</v>
      </c>
      <c r="J15" s="19"/>
    </row>
    <row r="16" spans="1:15" x14ac:dyDescent="0.35">
      <c r="A16" s="6"/>
      <c r="B16" s="2"/>
      <c r="C16" s="9"/>
      <c r="D16" s="19" t="s">
        <v>29</v>
      </c>
      <c r="E16" s="19"/>
      <c r="F16" s="19"/>
      <c r="G16" s="19"/>
      <c r="H16" s="19"/>
      <c r="I16" s="19"/>
      <c r="J16" s="8">
        <v>30.895718400000003</v>
      </c>
      <c r="N16" s="21"/>
      <c r="O16" s="21"/>
    </row>
    <row r="17" spans="1:15" s="11" customFormat="1" x14ac:dyDescent="0.35">
      <c r="A17" s="9"/>
      <c r="B17" s="10"/>
      <c r="C17" s="9"/>
      <c r="D17" s="19"/>
      <c r="E17" s="19"/>
      <c r="F17" s="19"/>
      <c r="G17" s="19"/>
      <c r="H17" s="19"/>
      <c r="I17" s="19"/>
      <c r="J17" s="19"/>
      <c r="N17" s="21"/>
      <c r="O17" s="21"/>
    </row>
    <row r="18" spans="1:15" x14ac:dyDescent="0.35">
      <c r="A18" s="6"/>
      <c r="B18" s="2"/>
      <c r="C18" s="6"/>
      <c r="D18" s="19" t="s">
        <v>30</v>
      </c>
      <c r="E18" s="19"/>
      <c r="F18" s="19"/>
      <c r="G18" s="19"/>
      <c r="H18" s="19"/>
      <c r="I18" s="19"/>
      <c r="J18" s="19"/>
      <c r="N18" s="21"/>
      <c r="O18" s="21"/>
    </row>
    <row r="19" spans="1:15" x14ac:dyDescent="0.35">
      <c r="A19" s="6"/>
      <c r="B19" s="2"/>
      <c r="C19" s="6"/>
      <c r="D19" s="19" t="s">
        <v>31</v>
      </c>
      <c r="E19" s="19"/>
      <c r="F19" s="19"/>
      <c r="G19" s="19"/>
      <c r="H19" s="19"/>
      <c r="I19" s="19"/>
      <c r="J19" s="19"/>
      <c r="N19" s="21"/>
      <c r="O19" s="21"/>
    </row>
    <row r="20" spans="1:15" x14ac:dyDescent="0.35">
      <c r="A20" s="6"/>
      <c r="B20" s="2"/>
      <c r="C20" s="6"/>
      <c r="D20" s="19" t="s">
        <v>32</v>
      </c>
      <c r="E20" s="22"/>
      <c r="F20" s="22"/>
      <c r="G20" s="22"/>
      <c r="H20" s="22"/>
      <c r="I20" s="22"/>
      <c r="J20" s="22"/>
      <c r="N20" s="21"/>
      <c r="O20" s="21"/>
    </row>
    <row r="21" spans="1:15" x14ac:dyDescent="0.35">
      <c r="A21" s="6"/>
      <c r="B21" s="2"/>
      <c r="C21" s="6"/>
      <c r="D21" s="19" t="s">
        <v>33</v>
      </c>
      <c r="E21" s="22"/>
      <c r="F21" s="22"/>
      <c r="G21" s="22"/>
      <c r="H21" s="22"/>
      <c r="I21" s="22"/>
      <c r="J21" s="22"/>
      <c r="N21" s="21"/>
      <c r="O21" s="21"/>
    </row>
    <row r="22" spans="1:15" x14ac:dyDescent="0.35">
      <c r="A22" s="6"/>
      <c r="B22" s="2"/>
      <c r="C22" s="6"/>
      <c r="D22" s="19"/>
      <c r="E22" s="22"/>
      <c r="F22" s="22"/>
      <c r="G22" s="22"/>
      <c r="H22" s="22"/>
      <c r="I22" s="22"/>
      <c r="J22" s="22"/>
      <c r="N22" s="21"/>
      <c r="O22" s="21"/>
    </row>
    <row r="23" spans="1:15" ht="13.15" x14ac:dyDescent="0.35">
      <c r="A23" s="6"/>
      <c r="B23" s="2"/>
      <c r="C23" s="6"/>
      <c r="D23" s="23" t="s">
        <v>34</v>
      </c>
      <c r="E23" s="24"/>
      <c r="F23" s="25"/>
      <c r="G23" s="22"/>
      <c r="H23" s="22"/>
      <c r="I23" s="22"/>
      <c r="J23" s="22"/>
      <c r="N23" s="21"/>
      <c r="O23" s="21"/>
    </row>
    <row r="24" spans="1:15" ht="13.15" x14ac:dyDescent="0.35">
      <c r="A24" s="6"/>
      <c r="B24" s="2"/>
      <c r="C24" s="6"/>
      <c r="D24" s="23"/>
      <c r="E24" s="24"/>
      <c r="F24" s="25"/>
      <c r="G24" s="22"/>
      <c r="H24" s="22"/>
      <c r="I24" s="22"/>
      <c r="J24" s="22"/>
      <c r="N24" s="21"/>
      <c r="O24" s="21"/>
    </row>
    <row r="25" spans="1:15" ht="13.15" x14ac:dyDescent="0.4">
      <c r="A25" s="149" t="s">
        <v>35</v>
      </c>
      <c r="B25" s="1"/>
      <c r="C25" s="1"/>
      <c r="D25" s="1"/>
      <c r="E25" s="1"/>
      <c r="F25" s="1"/>
      <c r="G25" s="1"/>
      <c r="H25" s="2"/>
      <c r="I25" s="1"/>
      <c r="J25" s="1"/>
      <c r="N25" s="21"/>
      <c r="O25" s="21"/>
    </row>
    <row r="26" spans="1:15" ht="13.15" x14ac:dyDescent="0.4">
      <c r="A26" s="148" t="s">
        <v>36</v>
      </c>
      <c r="B26" s="1"/>
      <c r="C26" s="1"/>
      <c r="D26" s="1"/>
      <c r="E26" s="1"/>
      <c r="F26" s="1"/>
      <c r="G26" s="1"/>
      <c r="H26" s="2"/>
      <c r="I26" s="1"/>
      <c r="J26" s="1"/>
      <c r="N26" s="21"/>
      <c r="O26" s="21"/>
    </row>
    <row r="27" spans="1:15" x14ac:dyDescent="0.35">
      <c r="A27" s="148" t="s">
        <v>37</v>
      </c>
      <c r="B27" s="1"/>
      <c r="C27" s="1"/>
      <c r="D27" s="1"/>
      <c r="E27" s="1"/>
      <c r="F27" s="1"/>
      <c r="G27" s="1"/>
      <c r="H27" s="2"/>
      <c r="I27" s="1"/>
      <c r="J27" s="1"/>
      <c r="N27" s="21"/>
      <c r="O27" s="21"/>
    </row>
    <row r="28" spans="1:15" x14ac:dyDescent="0.35">
      <c r="A28" s="7"/>
      <c r="B28" s="1"/>
      <c r="C28" s="1"/>
      <c r="D28" s="1"/>
      <c r="E28" s="1"/>
      <c r="F28" s="1"/>
      <c r="G28" s="1"/>
      <c r="H28" s="2"/>
      <c r="I28" s="1"/>
      <c r="J28" s="1"/>
      <c r="N28" s="21"/>
      <c r="O28" s="21"/>
    </row>
    <row r="29" spans="1:15" ht="13.15" x14ac:dyDescent="0.4">
      <c r="A29" s="149" t="s">
        <v>38</v>
      </c>
      <c r="B29" s="1"/>
      <c r="C29" s="1"/>
      <c r="D29" s="1"/>
      <c r="E29" s="1"/>
      <c r="F29" s="1"/>
      <c r="G29" s="1"/>
      <c r="H29" s="2"/>
      <c r="I29" s="1"/>
      <c r="J29" s="1"/>
      <c r="N29" s="21"/>
      <c r="O29" s="21"/>
    </row>
    <row r="30" spans="1:15" ht="13.15" x14ac:dyDescent="0.4">
      <c r="A30" s="148" t="s">
        <v>39</v>
      </c>
      <c r="B30" s="1"/>
      <c r="C30" s="1"/>
      <c r="D30" s="1"/>
      <c r="E30" s="1"/>
      <c r="F30" s="1"/>
      <c r="G30" s="1"/>
      <c r="H30" s="2"/>
      <c r="I30" s="1"/>
      <c r="J30" s="1"/>
      <c r="N30" s="21"/>
      <c r="O30" s="21"/>
    </row>
    <row r="31" spans="1:15" x14ac:dyDescent="0.35">
      <c r="A31" s="148" t="s">
        <v>40</v>
      </c>
      <c r="B31" s="1"/>
      <c r="C31" s="1"/>
      <c r="D31" s="1"/>
      <c r="E31" s="1"/>
      <c r="F31" s="1"/>
      <c r="G31" s="1"/>
      <c r="H31" s="2"/>
      <c r="I31" s="1"/>
      <c r="J31" s="1"/>
      <c r="N31" s="21"/>
      <c r="O31" s="21"/>
    </row>
    <row r="32" spans="1:15" x14ac:dyDescent="0.35">
      <c r="B32" s="1"/>
      <c r="C32" s="1"/>
      <c r="D32" s="1"/>
      <c r="E32" s="1"/>
      <c r="F32" s="1"/>
      <c r="G32" s="1"/>
      <c r="H32" s="2"/>
      <c r="I32" s="1"/>
      <c r="K32" s="26"/>
      <c r="N32" s="21"/>
      <c r="O32" s="21"/>
    </row>
    <row r="33" spans="1:15" ht="13.15" x14ac:dyDescent="0.4">
      <c r="A33" s="149" t="s">
        <v>41</v>
      </c>
      <c r="B33" s="148" t="s">
        <v>42</v>
      </c>
      <c r="C33" s="1"/>
      <c r="D33" s="1"/>
      <c r="E33" s="1"/>
      <c r="F33" s="1"/>
      <c r="G33" s="1"/>
      <c r="H33" s="2"/>
      <c r="I33" s="1"/>
      <c r="J33" s="1"/>
      <c r="N33" s="21"/>
      <c r="O33" s="21"/>
    </row>
    <row r="34" spans="1:15" x14ac:dyDescent="0.35">
      <c r="A34" s="148"/>
      <c r="B34" s="1"/>
      <c r="C34" s="26">
        <v>1.05</v>
      </c>
      <c r="D34" s="17" t="s">
        <v>43</v>
      </c>
      <c r="E34" s="1"/>
      <c r="F34" s="1"/>
      <c r="G34" s="1"/>
      <c r="H34" s="2"/>
      <c r="I34" s="1"/>
      <c r="J34" s="1"/>
      <c r="N34" s="21"/>
      <c r="O34" s="21"/>
    </row>
    <row r="35" spans="1:15" ht="13.15" x14ac:dyDescent="0.4">
      <c r="A35" s="149" t="s">
        <v>44</v>
      </c>
      <c r="B35" s="148" t="s">
        <v>45</v>
      </c>
      <c r="C35" s="1"/>
      <c r="D35" s="1"/>
      <c r="E35" s="1"/>
      <c r="F35" s="1"/>
      <c r="G35" s="1"/>
      <c r="H35" s="2"/>
      <c r="I35" s="1"/>
      <c r="J35" s="1"/>
      <c r="N35" s="21"/>
      <c r="O35" s="21"/>
    </row>
    <row r="36" spans="1:15" x14ac:dyDescent="0.35">
      <c r="A36" s="148"/>
      <c r="B36" s="1"/>
      <c r="C36" s="26">
        <v>1.5</v>
      </c>
      <c r="D36" s="17" t="s">
        <v>43</v>
      </c>
      <c r="E36" s="1"/>
      <c r="F36" s="1"/>
      <c r="G36" s="1"/>
      <c r="H36" s="2"/>
      <c r="I36" s="1"/>
      <c r="J36" s="1"/>
      <c r="N36" s="21"/>
      <c r="O36" s="21"/>
    </row>
    <row r="37" spans="1:15" ht="13.15" x14ac:dyDescent="0.4">
      <c r="A37" s="149" t="s">
        <v>46</v>
      </c>
      <c r="B37" s="148" t="s">
        <v>47</v>
      </c>
      <c r="C37" s="1"/>
      <c r="D37" s="1"/>
      <c r="E37" s="1"/>
      <c r="F37" s="1"/>
      <c r="G37" s="1"/>
      <c r="H37" s="2"/>
      <c r="I37" s="1"/>
      <c r="J37" s="1"/>
      <c r="N37" s="21"/>
      <c r="O37" s="21"/>
    </row>
    <row r="38" spans="1:15" x14ac:dyDescent="0.35">
      <c r="A38" s="148"/>
      <c r="B38" s="1"/>
      <c r="C38" s="26">
        <v>1.75</v>
      </c>
      <c r="D38" s="17" t="s">
        <v>43</v>
      </c>
      <c r="E38" s="1"/>
      <c r="F38" s="1"/>
      <c r="G38" s="1"/>
      <c r="H38" s="2"/>
      <c r="I38" s="1"/>
      <c r="J38" s="1"/>
      <c r="N38" s="21"/>
      <c r="O38" s="21"/>
    </row>
    <row r="39" spans="1:15" x14ac:dyDescent="0.35">
      <c r="A39" s="148"/>
      <c r="B39" s="1"/>
      <c r="C39" s="26"/>
      <c r="D39" s="17"/>
      <c r="E39" s="1"/>
      <c r="F39" s="1"/>
      <c r="G39" s="1"/>
      <c r="H39" s="2"/>
      <c r="I39" s="1"/>
      <c r="J39" s="1"/>
      <c r="N39" s="21"/>
      <c r="O39" s="21"/>
    </row>
    <row r="40" spans="1:15" x14ac:dyDescent="0.35">
      <c r="A40" s="7"/>
      <c r="B40" s="1"/>
      <c r="C40" s="1"/>
      <c r="D40" s="1"/>
      <c r="E40" s="1"/>
      <c r="F40" s="1"/>
      <c r="G40" s="1"/>
      <c r="H40" s="2"/>
      <c r="I40" s="1"/>
      <c r="J40" s="1"/>
    </row>
    <row r="41" spans="1:15" ht="13.15" x14ac:dyDescent="0.4">
      <c r="A41" s="148" t="s">
        <v>48</v>
      </c>
      <c r="B41" s="1"/>
      <c r="C41" s="1"/>
      <c r="D41" s="1"/>
      <c r="E41" s="1"/>
      <c r="F41" s="1"/>
      <c r="G41" s="1"/>
      <c r="H41" s="2"/>
      <c r="I41" s="1"/>
      <c r="J41" s="1"/>
    </row>
    <row r="42" spans="1:15" x14ac:dyDescent="0.35">
      <c r="A42" s="148" t="s">
        <v>49</v>
      </c>
      <c r="B42" s="1"/>
      <c r="C42" s="1"/>
      <c r="D42" s="1"/>
      <c r="E42" s="1"/>
      <c r="F42" s="1"/>
      <c r="G42" s="1"/>
      <c r="H42" s="2"/>
      <c r="I42" s="1"/>
      <c r="J42" s="1"/>
    </row>
    <row r="43" spans="1:15" x14ac:dyDescent="0.35">
      <c r="A43" s="7" t="s">
        <v>50</v>
      </c>
      <c r="B43" s="1"/>
      <c r="C43" s="1"/>
      <c r="D43" s="1"/>
      <c r="E43" s="1"/>
      <c r="F43" s="1"/>
      <c r="G43" s="1"/>
      <c r="H43" s="2"/>
      <c r="I43" s="1"/>
      <c r="J43" s="1"/>
    </row>
    <row r="44" spans="1:15" x14ac:dyDescent="0.35">
      <c r="A44" s="7"/>
      <c r="B44" s="1"/>
      <c r="C44" s="1"/>
      <c r="D44" s="1"/>
      <c r="E44" s="1"/>
      <c r="F44" s="1"/>
      <c r="G44" s="1"/>
      <c r="H44" s="2"/>
      <c r="I44" s="1"/>
      <c r="J44" s="1"/>
    </row>
    <row r="45" spans="1:15" ht="13.15" x14ac:dyDescent="0.4">
      <c r="A45" s="148" t="s">
        <v>51</v>
      </c>
      <c r="B45" s="1"/>
      <c r="C45" s="1"/>
      <c r="D45" s="1"/>
      <c r="E45" s="1"/>
      <c r="F45" s="1"/>
      <c r="G45" s="1"/>
      <c r="H45" s="2"/>
      <c r="I45" s="1"/>
      <c r="J45" s="1"/>
    </row>
    <row r="46" spans="1:15" x14ac:dyDescent="0.35">
      <c r="A46" s="148" t="s">
        <v>52</v>
      </c>
      <c r="B46" s="1"/>
      <c r="C46" s="1"/>
      <c r="D46" s="1"/>
      <c r="E46" s="1"/>
      <c r="F46" s="1"/>
      <c r="G46" s="1"/>
      <c r="H46" s="2"/>
      <c r="I46" s="1"/>
      <c r="J46" s="1"/>
    </row>
    <row r="47" spans="1:15" x14ac:dyDescent="0.35">
      <c r="A47" s="7"/>
      <c r="B47" s="1"/>
      <c r="C47" s="1"/>
      <c r="D47" s="1"/>
      <c r="E47" s="1"/>
      <c r="F47" s="1"/>
      <c r="G47" s="1"/>
      <c r="H47" s="2"/>
      <c r="I47" s="1"/>
      <c r="J47" s="1"/>
    </row>
    <row r="48" spans="1:15" ht="13.15" x14ac:dyDescent="0.4">
      <c r="A48" s="148" t="s">
        <v>53</v>
      </c>
      <c r="B48" s="1"/>
      <c r="C48" s="1"/>
      <c r="D48" s="1"/>
      <c r="E48" s="1"/>
      <c r="F48" s="1"/>
      <c r="G48" s="1"/>
      <c r="H48" s="2"/>
      <c r="I48" s="1"/>
      <c r="J48" s="1"/>
    </row>
    <row r="49" spans="1:10" x14ac:dyDescent="0.35">
      <c r="A49" s="7" t="s">
        <v>54</v>
      </c>
      <c r="B49" s="1"/>
      <c r="C49" s="1"/>
      <c r="D49" s="1"/>
      <c r="E49" s="1"/>
      <c r="F49" s="1"/>
      <c r="G49" s="1"/>
      <c r="H49" s="2"/>
      <c r="I49" s="1"/>
      <c r="J49" s="1"/>
    </row>
    <row r="50" spans="1:10" x14ac:dyDescent="0.35">
      <c r="A50" s="7"/>
      <c r="B50" s="1"/>
      <c r="C50" s="1"/>
      <c r="D50" s="1"/>
      <c r="E50" s="1"/>
      <c r="F50" s="1"/>
      <c r="G50" s="1"/>
      <c r="H50" s="2"/>
      <c r="I50" s="1"/>
      <c r="J50" s="1"/>
    </row>
    <row r="51" spans="1:10" x14ac:dyDescent="0.35">
      <c r="A51" s="7"/>
      <c r="B51" s="1"/>
      <c r="C51" s="1"/>
      <c r="D51" s="1"/>
      <c r="E51" s="1"/>
      <c r="F51" s="1"/>
      <c r="G51" s="1"/>
      <c r="H51" s="2"/>
      <c r="I51" s="1"/>
      <c r="J51" s="1"/>
    </row>
    <row r="52" spans="1:10" ht="13.15" x14ac:dyDescent="0.4">
      <c r="A52" s="16" t="s">
        <v>55</v>
      </c>
      <c r="B52" s="13"/>
      <c r="C52" s="13"/>
      <c r="D52" s="13"/>
      <c r="E52" s="13"/>
      <c r="F52" s="13"/>
      <c r="G52" s="13"/>
      <c r="H52" s="14"/>
      <c r="I52" s="1"/>
      <c r="J52" s="1"/>
    </row>
    <row r="53" spans="1:10" x14ac:dyDescent="0.35">
      <c r="A53" s="27"/>
      <c r="B53" s="28"/>
      <c r="C53" s="28"/>
      <c r="D53" s="28"/>
      <c r="E53" s="28"/>
      <c r="F53" s="28"/>
      <c r="G53" s="28"/>
      <c r="H53" s="10"/>
      <c r="I53" s="1"/>
      <c r="J53" s="1"/>
    </row>
    <row r="54" spans="1:10" ht="13.15" x14ac:dyDescent="0.4">
      <c r="A54" s="149" t="s">
        <v>56</v>
      </c>
      <c r="B54" s="1"/>
      <c r="C54" s="1"/>
      <c r="D54" s="1"/>
      <c r="E54" s="1"/>
      <c r="F54" s="1"/>
      <c r="G54" s="1"/>
      <c r="H54" s="2"/>
      <c r="I54" s="1"/>
      <c r="J54" s="1"/>
    </row>
    <row r="55" spans="1:10" ht="13.15" x14ac:dyDescent="0.4">
      <c r="A55" s="148" t="s">
        <v>57</v>
      </c>
      <c r="B55" s="1"/>
      <c r="C55" s="1"/>
      <c r="D55" s="1"/>
      <c r="E55" s="1"/>
      <c r="F55" s="1"/>
      <c r="G55" s="1"/>
      <c r="H55" s="2"/>
      <c r="I55" s="1"/>
      <c r="J55" s="1"/>
    </row>
    <row r="56" spans="1:10" x14ac:dyDescent="0.35">
      <c r="A56" s="7" t="s">
        <v>58</v>
      </c>
      <c r="B56" s="1"/>
      <c r="C56" s="1"/>
      <c r="D56" s="1"/>
      <c r="E56" s="1"/>
      <c r="F56" s="1"/>
      <c r="G56" s="1"/>
      <c r="H56" s="2"/>
      <c r="I56" s="1"/>
      <c r="J56" s="1"/>
    </row>
    <row r="57" spans="1:10" x14ac:dyDescent="0.35">
      <c r="A57" s="8">
        <v>0.35336000000000006</v>
      </c>
      <c r="B57" s="15" t="s">
        <v>59</v>
      </c>
      <c r="C57" s="1"/>
      <c r="D57" s="1"/>
      <c r="E57" s="1"/>
      <c r="F57" s="1"/>
      <c r="G57" s="1"/>
      <c r="H57" s="2"/>
      <c r="I57" s="1"/>
      <c r="J57" s="1"/>
    </row>
    <row r="58" spans="1:10" x14ac:dyDescent="0.35">
      <c r="A58" s="8">
        <v>0.42884000000000005</v>
      </c>
      <c r="B58" s="15" t="s">
        <v>60</v>
      </c>
      <c r="C58" s="1"/>
      <c r="D58" s="1"/>
      <c r="E58" s="1"/>
      <c r="F58" s="1"/>
      <c r="G58" s="1"/>
      <c r="H58" s="2"/>
      <c r="I58" s="1"/>
      <c r="J58" s="1"/>
    </row>
    <row r="59" spans="1:10" x14ac:dyDescent="0.35">
      <c r="A59" s="8">
        <v>0.50839999999999996</v>
      </c>
      <c r="B59" s="15" t="s">
        <v>61</v>
      </c>
      <c r="C59" s="1"/>
      <c r="D59" s="1"/>
      <c r="E59" s="1"/>
      <c r="F59" s="1"/>
      <c r="G59" s="1"/>
      <c r="H59" s="2"/>
      <c r="I59" s="1"/>
      <c r="J59" s="1"/>
    </row>
    <row r="60" spans="1:10" x14ac:dyDescent="0.35">
      <c r="A60" s="8">
        <v>0.58592</v>
      </c>
      <c r="B60" s="15" t="s">
        <v>62</v>
      </c>
      <c r="C60" s="1"/>
      <c r="D60" s="1"/>
      <c r="E60" s="1"/>
      <c r="F60" s="1"/>
      <c r="G60" s="1"/>
      <c r="H60" s="2"/>
      <c r="I60" s="1"/>
      <c r="J60" s="1"/>
    </row>
    <row r="61" spans="1:10" x14ac:dyDescent="0.35">
      <c r="A61" s="1"/>
      <c r="B61" s="1"/>
      <c r="C61" s="1"/>
      <c r="D61" s="1"/>
      <c r="E61" s="1"/>
      <c r="F61" s="1"/>
      <c r="G61" s="1"/>
      <c r="H61" s="2"/>
      <c r="I61" s="1"/>
      <c r="J61" s="1"/>
    </row>
    <row r="62" spans="1:10" x14ac:dyDescent="0.35">
      <c r="A62" s="1"/>
      <c r="B62" s="1"/>
      <c r="C62" s="1"/>
      <c r="D62" s="1"/>
      <c r="E62" s="1"/>
      <c r="F62" s="1"/>
      <c r="G62" s="1"/>
      <c r="H62" s="2"/>
      <c r="I62" s="1"/>
      <c r="J62" s="1"/>
    </row>
    <row r="63" spans="1:10" x14ac:dyDescent="0.35">
      <c r="A63" s="18" t="s">
        <v>63</v>
      </c>
      <c r="B63" s="18"/>
      <c r="C63" s="18"/>
      <c r="D63" s="18"/>
      <c r="E63" s="1"/>
      <c r="F63" s="1"/>
      <c r="G63" s="1"/>
      <c r="H63" s="2"/>
      <c r="I63" s="1"/>
      <c r="J63" s="1"/>
    </row>
    <row r="64" spans="1:10" x14ac:dyDescent="0.35">
      <c r="A64" s="17" t="s">
        <v>64</v>
      </c>
      <c r="B64" s="1"/>
      <c r="C64" s="1"/>
      <c r="D64" s="1"/>
      <c r="E64" s="1"/>
      <c r="F64" s="1"/>
      <c r="G64" s="1"/>
      <c r="H64" s="2"/>
      <c r="I64" s="1"/>
      <c r="J64" s="1"/>
    </row>
    <row r="65" spans="1:10" x14ac:dyDescent="0.35">
      <c r="A65" s="1"/>
      <c r="B65" s="17" t="s">
        <v>65</v>
      </c>
      <c r="C65" s="1"/>
      <c r="D65" s="1"/>
      <c r="E65" s="1"/>
      <c r="F65" s="1"/>
      <c r="G65" s="1"/>
      <c r="H65" s="2"/>
      <c r="I65" s="1"/>
      <c r="J65" s="1"/>
    </row>
    <row r="66" spans="1:10" x14ac:dyDescent="0.35">
      <c r="A66" s="1"/>
      <c r="B66" s="17" t="s">
        <v>66</v>
      </c>
      <c r="C66" s="1"/>
      <c r="D66" s="1"/>
      <c r="E66" s="1"/>
      <c r="F66" s="1"/>
      <c r="G66" s="1"/>
      <c r="H66" s="2"/>
      <c r="I66" s="1"/>
      <c r="J66" s="1"/>
    </row>
    <row r="67" spans="1:10" x14ac:dyDescent="0.35">
      <c r="A67" s="1"/>
      <c r="B67" s="17" t="s">
        <v>67</v>
      </c>
      <c r="C67" s="1"/>
      <c r="D67" s="1"/>
      <c r="E67" s="1"/>
      <c r="F67" s="1"/>
      <c r="G67" s="1"/>
      <c r="H67" s="2"/>
      <c r="I67" s="1"/>
      <c r="J67" s="1"/>
    </row>
    <row r="68" spans="1:10" x14ac:dyDescent="0.35">
      <c r="B68" s="3" t="s">
        <v>68</v>
      </c>
    </row>
  </sheetData>
  <pageMargins left="0.75" right="0.75" top="1" bottom="1" header="0.5" footer="0.5"/>
  <pageSetup scale="95" orientation="landscape" r:id="rId1"/>
  <headerFooter alignWithMargins="0">
    <oddFooter>&amp;C&amp;P</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13E37-4D22-42E0-AEF3-184F5A8BC6D6}">
  <sheetPr>
    <tabColor theme="1"/>
    <pageSetUpPr fitToPage="1"/>
  </sheetPr>
  <dimension ref="A1:T65"/>
  <sheetViews>
    <sheetView showGridLines="0" topLeftCell="E25" workbookViewId="0">
      <selection activeCell="U1" sqref="K1:U1048576"/>
    </sheetView>
  </sheetViews>
  <sheetFormatPr defaultColWidth="9.1328125" defaultRowHeight="13.15" x14ac:dyDescent="0.4"/>
  <cols>
    <col min="1" max="1" width="9.1328125" style="78"/>
    <col min="2" max="2" width="7" style="78" customWidth="1"/>
    <col min="3" max="3" width="12.59765625" style="78" customWidth="1"/>
    <col min="4" max="4" width="57.73046875" style="78" bestFit="1" customWidth="1"/>
    <col min="5" max="5" width="6.1328125" style="78" customWidth="1"/>
    <col min="6" max="6" width="7.1328125" style="78" customWidth="1"/>
    <col min="7" max="7" width="8.265625" style="78" customWidth="1"/>
    <col min="8" max="8" width="11.73046875" style="78" customWidth="1"/>
    <col min="9" max="9" width="22.1328125" style="78" bestFit="1" customWidth="1"/>
    <col min="10" max="10" width="11.59765625" style="78" customWidth="1"/>
    <col min="11" max="11" width="7.265625" style="78" customWidth="1"/>
    <col min="12" max="12" width="16.265625" style="80" customWidth="1"/>
    <col min="13" max="13" width="7.3984375" style="80" customWidth="1"/>
    <col min="14" max="14" width="25.86328125" style="81" customWidth="1"/>
    <col min="15" max="15" width="7.73046875" style="84" customWidth="1"/>
    <col min="16" max="16" width="6.265625" style="78" customWidth="1"/>
    <col min="17" max="17" width="11" style="83" customWidth="1"/>
    <col min="18" max="18" width="7.3984375" style="83" customWidth="1"/>
    <col min="19" max="19" width="25.86328125" style="83" customWidth="1"/>
    <col min="20" max="20" width="7.3984375" style="83" customWidth="1"/>
    <col min="21" max="16384" width="9.1328125" style="78"/>
  </cols>
  <sheetData>
    <row r="1" spans="1:20" ht="15.75" x14ac:dyDescent="0.5">
      <c r="A1" s="147" t="s">
        <v>191</v>
      </c>
    </row>
    <row r="2" spans="1:20" ht="15.75" x14ac:dyDescent="0.5">
      <c r="A2" s="77" t="s">
        <v>192</v>
      </c>
      <c r="I2" s="79"/>
      <c r="N2" s="81" t="s">
        <v>193</v>
      </c>
      <c r="O2" s="82">
        <v>1.0249999999999999</v>
      </c>
    </row>
    <row r="3" spans="1:20" x14ac:dyDescent="0.4">
      <c r="A3" s="165" t="s">
        <v>194</v>
      </c>
      <c r="B3" s="165"/>
      <c r="C3" s="165"/>
      <c r="H3" s="79"/>
    </row>
    <row r="4" spans="1:20" x14ac:dyDescent="0.4">
      <c r="A4" s="85" t="s">
        <v>195</v>
      </c>
      <c r="B4" s="150"/>
      <c r="C4" s="150"/>
      <c r="H4" s="79"/>
    </row>
    <row r="5" spans="1:20" x14ac:dyDescent="0.4">
      <c r="A5" s="96" t="s">
        <v>196</v>
      </c>
      <c r="B5" s="150"/>
      <c r="C5" s="150"/>
      <c r="H5" s="79"/>
    </row>
    <row r="6" spans="1:20" x14ac:dyDescent="0.4">
      <c r="H6" s="79"/>
      <c r="I6" s="86"/>
      <c r="J6" s="86"/>
      <c r="L6" s="80" t="s">
        <v>197</v>
      </c>
      <c r="Q6" s="83" t="s">
        <v>198</v>
      </c>
    </row>
    <row r="7" spans="1:20" ht="26.25" x14ac:dyDescent="0.4">
      <c r="A7" s="87" t="s">
        <v>199</v>
      </c>
      <c r="B7" s="87" t="s">
        <v>200</v>
      </c>
      <c r="C7" s="87" t="s">
        <v>201</v>
      </c>
      <c r="D7" s="88" t="s">
        <v>5</v>
      </c>
      <c r="E7" s="89" t="s">
        <v>202</v>
      </c>
      <c r="F7" s="87" t="s">
        <v>203</v>
      </c>
      <c r="G7" s="87" t="s">
        <v>204</v>
      </c>
      <c r="H7" s="89" t="s">
        <v>117</v>
      </c>
      <c r="L7" s="80" t="s">
        <v>205</v>
      </c>
      <c r="M7" s="90" t="s">
        <v>140</v>
      </c>
      <c r="N7" s="81" t="s">
        <v>141</v>
      </c>
      <c r="O7" s="84" t="s">
        <v>142</v>
      </c>
      <c r="Q7" s="83" t="s">
        <v>205</v>
      </c>
      <c r="R7" s="91" t="s">
        <v>140</v>
      </c>
      <c r="S7" s="92" t="s">
        <v>141</v>
      </c>
      <c r="T7" s="93" t="s">
        <v>142</v>
      </c>
    </row>
    <row r="8" spans="1:20" x14ac:dyDescent="0.4">
      <c r="A8" s="94" t="s">
        <v>118</v>
      </c>
      <c r="B8" s="95" t="s">
        <v>119</v>
      </c>
      <c r="C8" s="94" t="s">
        <v>11</v>
      </c>
      <c r="D8" s="96" t="s">
        <v>177</v>
      </c>
      <c r="E8" s="94">
        <v>253</v>
      </c>
      <c r="F8" s="94">
        <v>5</v>
      </c>
      <c r="G8" s="94" t="s">
        <v>13</v>
      </c>
      <c r="H8" s="97">
        <f>O8</f>
        <v>32.904943811738271</v>
      </c>
      <c r="I8" s="98"/>
      <c r="L8" s="80" t="s">
        <v>206</v>
      </c>
      <c r="M8" s="99" t="str">
        <f t="shared" ref="M8:M13" si="0">C8</f>
        <v>07300C</v>
      </c>
      <c r="N8" s="81" t="s">
        <v>119</v>
      </c>
      <c r="O8" s="100">
        <f t="shared" ref="O8:O13" si="1">(IF(L8="Y",VLOOKUP(M8,October2021Rates,3,0)*IncrPerc2022,VLOOKUP(M8,October2021Rates,3,0)))+0.03</f>
        <v>32.904943811738271</v>
      </c>
      <c r="Q8" s="101" t="str">
        <f>L8</f>
        <v>Y</v>
      </c>
      <c r="R8" s="101" t="str">
        <f>M8</f>
        <v>07300C</v>
      </c>
      <c r="S8" s="92" t="str">
        <f>N8</f>
        <v>03</v>
      </c>
      <c r="T8" s="102">
        <f>ROUND(O8,3)</f>
        <v>32.905000000000001</v>
      </c>
    </row>
    <row r="9" spans="1:20" x14ac:dyDescent="0.4">
      <c r="A9" s="94" t="s">
        <v>118</v>
      </c>
      <c r="B9" s="95" t="s">
        <v>121</v>
      </c>
      <c r="C9" s="94" t="s">
        <v>144</v>
      </c>
      <c r="D9" s="96" t="s">
        <v>178</v>
      </c>
      <c r="E9" s="94">
        <v>320</v>
      </c>
      <c r="F9" s="94">
        <v>7</v>
      </c>
      <c r="G9" s="94" t="s">
        <v>13</v>
      </c>
      <c r="H9" s="97">
        <f t="shared" ref="H9:H13" si="2">O9</f>
        <v>36.856509469921861</v>
      </c>
      <c r="I9" s="98"/>
      <c r="L9" s="80" t="s">
        <v>206</v>
      </c>
      <c r="M9" s="99" t="str">
        <f t="shared" si="0"/>
        <v>59400C</v>
      </c>
      <c r="N9" s="81" t="s">
        <v>121</v>
      </c>
      <c r="O9" s="100">
        <f t="shared" si="1"/>
        <v>36.856509469921861</v>
      </c>
      <c r="Q9" s="101" t="str">
        <f t="shared" ref="Q9:Q13" si="3">L9</f>
        <v>Y</v>
      </c>
      <c r="R9" s="101" t="str">
        <f t="shared" ref="R9:R13" si="4">M9</f>
        <v>59400C</v>
      </c>
      <c r="S9" s="92" t="str">
        <f t="shared" ref="S9:S13" si="5">N9</f>
        <v>08</v>
      </c>
      <c r="T9" s="102">
        <f t="shared" ref="T9:T13" si="6">ROUND(O9,3)</f>
        <v>36.856999999999999</v>
      </c>
    </row>
    <row r="10" spans="1:20" x14ac:dyDescent="0.4">
      <c r="A10" s="94" t="s">
        <v>118</v>
      </c>
      <c r="B10" s="95" t="s">
        <v>120</v>
      </c>
      <c r="C10" s="94" t="s">
        <v>18</v>
      </c>
      <c r="D10" s="96" t="s">
        <v>19</v>
      </c>
      <c r="E10" s="94">
        <v>185</v>
      </c>
      <c r="F10" s="94">
        <v>4</v>
      </c>
      <c r="G10" s="94" t="s">
        <v>13</v>
      </c>
      <c r="H10" s="97">
        <f t="shared" si="2"/>
        <v>31.670176679090268</v>
      </c>
      <c r="I10" s="98"/>
      <c r="L10" s="80" t="s">
        <v>206</v>
      </c>
      <c r="M10" s="99" t="str">
        <f t="shared" si="0"/>
        <v>09330C</v>
      </c>
      <c r="N10" s="81" t="s">
        <v>120</v>
      </c>
      <c r="O10" s="100">
        <f t="shared" si="1"/>
        <v>31.670176679090268</v>
      </c>
      <c r="Q10" s="101" t="str">
        <f t="shared" si="3"/>
        <v>Y</v>
      </c>
      <c r="R10" s="101" t="str">
        <f t="shared" si="4"/>
        <v>09330C</v>
      </c>
      <c r="S10" s="92" t="str">
        <f t="shared" si="5"/>
        <v>02</v>
      </c>
      <c r="T10" s="102">
        <f t="shared" si="6"/>
        <v>31.67</v>
      </c>
    </row>
    <row r="11" spans="1:20" x14ac:dyDescent="0.4">
      <c r="A11" s="94" t="s">
        <v>118</v>
      </c>
      <c r="B11" s="95" t="s">
        <v>119</v>
      </c>
      <c r="C11" s="94" t="s">
        <v>20</v>
      </c>
      <c r="D11" s="96" t="s">
        <v>21</v>
      </c>
      <c r="E11" s="94">
        <v>245</v>
      </c>
      <c r="F11" s="94">
        <v>5</v>
      </c>
      <c r="G11" s="94" t="s">
        <v>13</v>
      </c>
      <c r="H11" s="97">
        <f t="shared" si="2"/>
        <v>32.904943811738271</v>
      </c>
      <c r="I11" s="98"/>
      <c r="L11" s="80" t="s">
        <v>206</v>
      </c>
      <c r="M11" s="99" t="str">
        <f t="shared" si="0"/>
        <v>09340C</v>
      </c>
      <c r="N11" s="81" t="s">
        <v>119</v>
      </c>
      <c r="O11" s="100">
        <f t="shared" si="1"/>
        <v>32.904943811738271</v>
      </c>
      <c r="Q11" s="101" t="str">
        <f t="shared" si="3"/>
        <v>Y</v>
      </c>
      <c r="R11" s="101" t="str">
        <f t="shared" si="4"/>
        <v>09340C</v>
      </c>
      <c r="S11" s="92" t="str">
        <f t="shared" si="5"/>
        <v>03</v>
      </c>
      <c r="T11" s="102">
        <f t="shared" si="6"/>
        <v>32.905000000000001</v>
      </c>
    </row>
    <row r="12" spans="1:20" x14ac:dyDescent="0.4">
      <c r="A12" s="94" t="s">
        <v>118</v>
      </c>
      <c r="B12" s="95" t="s">
        <v>121</v>
      </c>
      <c r="C12" s="94" t="s">
        <v>72</v>
      </c>
      <c r="D12" s="96" t="s">
        <v>98</v>
      </c>
      <c r="E12" s="94">
        <v>320</v>
      </c>
      <c r="F12" s="94">
        <v>7</v>
      </c>
      <c r="G12" s="94" t="s">
        <v>13</v>
      </c>
      <c r="H12" s="97">
        <f t="shared" si="2"/>
        <v>36.856509469921861</v>
      </c>
      <c r="I12" s="98"/>
      <c r="L12" s="80" t="s">
        <v>206</v>
      </c>
      <c r="M12" s="99" t="str">
        <f t="shared" si="0"/>
        <v>09345C</v>
      </c>
      <c r="N12" s="81" t="s">
        <v>121</v>
      </c>
      <c r="O12" s="100">
        <f t="shared" si="1"/>
        <v>36.856509469921861</v>
      </c>
      <c r="Q12" s="101" t="str">
        <f t="shared" si="3"/>
        <v>Y</v>
      </c>
      <c r="R12" s="101" t="str">
        <f t="shared" si="4"/>
        <v>09345C</v>
      </c>
      <c r="S12" s="92" t="str">
        <f t="shared" si="5"/>
        <v>08</v>
      </c>
      <c r="T12" s="102">
        <f t="shared" si="6"/>
        <v>36.856999999999999</v>
      </c>
    </row>
    <row r="13" spans="1:20" x14ac:dyDescent="0.4">
      <c r="A13" s="94" t="s">
        <v>118</v>
      </c>
      <c r="B13" s="95" t="s">
        <v>122</v>
      </c>
      <c r="C13" s="94" t="s">
        <v>74</v>
      </c>
      <c r="D13" s="96" t="s">
        <v>99</v>
      </c>
      <c r="E13" s="94">
        <v>258</v>
      </c>
      <c r="F13" s="94">
        <v>5</v>
      </c>
      <c r="G13" s="94" t="s">
        <v>13</v>
      </c>
      <c r="H13" s="97">
        <f t="shared" si="2"/>
        <v>33.014136797656235</v>
      </c>
      <c r="I13" s="98"/>
      <c r="L13" s="80" t="s">
        <v>206</v>
      </c>
      <c r="M13" s="99" t="str">
        <f t="shared" si="0"/>
        <v>10859C</v>
      </c>
      <c r="N13" s="81" t="s">
        <v>122</v>
      </c>
      <c r="O13" s="100">
        <f t="shared" si="1"/>
        <v>33.014136797656235</v>
      </c>
      <c r="Q13" s="101" t="str">
        <f t="shared" si="3"/>
        <v>Y</v>
      </c>
      <c r="R13" s="101" t="str">
        <f t="shared" si="4"/>
        <v>10859C</v>
      </c>
      <c r="S13" s="92" t="str">
        <f t="shared" si="5"/>
        <v>09</v>
      </c>
      <c r="T13" s="102">
        <f t="shared" si="6"/>
        <v>33.014000000000003</v>
      </c>
    </row>
    <row r="14" spans="1:20" x14ac:dyDescent="0.4">
      <c r="A14" s="103"/>
      <c r="B14" s="103"/>
      <c r="C14" s="86"/>
      <c r="D14" s="86"/>
      <c r="E14" s="103"/>
      <c r="F14" s="103"/>
      <c r="G14" s="103"/>
      <c r="H14" s="103"/>
      <c r="I14" s="103"/>
      <c r="J14" s="103"/>
    </row>
    <row r="15" spans="1:20" x14ac:dyDescent="0.4">
      <c r="A15" s="137" t="s">
        <v>207</v>
      </c>
      <c r="B15" s="79"/>
      <c r="C15" s="94"/>
      <c r="D15" s="104"/>
      <c r="E15" s="105"/>
      <c r="F15" s="106"/>
    </row>
    <row r="16" spans="1:20" x14ac:dyDescent="0.4">
      <c r="A16" s="138" t="s">
        <v>35</v>
      </c>
      <c r="H16" s="79"/>
      <c r="P16" s="107"/>
    </row>
    <row r="17" spans="1:20" x14ac:dyDescent="0.4">
      <c r="A17" s="139" t="str">
        <f>"Provided that an additional "&amp;TEXT(O17,"$0.00")&amp;" per hour shall be paid, for all hours worked to employees whose regularly scheduled shift begins"</f>
        <v>Provided that an additional $1.77 per hour shall be paid, for all hours worked to employees whose regularly scheduled shift begins</v>
      </c>
      <c r="H17" s="79"/>
      <c r="L17" s="80" t="s">
        <v>206</v>
      </c>
      <c r="M17" s="80" t="s">
        <v>147</v>
      </c>
      <c r="N17" s="81" t="s">
        <v>148</v>
      </c>
      <c r="O17" s="84">
        <f>IF(L17="Y",VLOOKUP(M17,October2021Rates,3,0)*IncrPerc2022,VLOOKUP(M17,October2021Rates,3,0))</f>
        <v>1.7650499999999996</v>
      </c>
      <c r="P17" s="107"/>
      <c r="Q17" s="101" t="str">
        <f t="shared" ref="Q17:Q18" si="7">L17</f>
        <v>Y</v>
      </c>
      <c r="R17" s="93" t="str">
        <f t="shared" ref="R17:R18" si="8">M17</f>
        <v>CSEAM1</v>
      </c>
      <c r="S17" s="93" t="str">
        <f t="shared" ref="S17:S18" si="9">N17</f>
        <v>TL-Morning Shift Premium CSE</v>
      </c>
      <c r="T17" s="93">
        <f>ROUND(O17,2)</f>
        <v>1.77</v>
      </c>
    </row>
    <row r="18" spans="1:20" x14ac:dyDescent="0.4">
      <c r="A18" s="139" t="s">
        <v>208</v>
      </c>
      <c r="H18" s="79"/>
      <c r="L18" s="80" t="s">
        <v>206</v>
      </c>
      <c r="M18" s="80" t="s">
        <v>149</v>
      </c>
      <c r="N18" s="81" t="s">
        <v>150</v>
      </c>
      <c r="O18" s="84">
        <f>IF(L18="Y",VLOOKUP(M18,October2021Rates,3,0)*IncrPerc2022,VLOOKUP(M18,October2021Rates,3,0))</f>
        <v>1.7650499999999996</v>
      </c>
      <c r="P18" s="107"/>
      <c r="Q18" s="101" t="str">
        <f t="shared" si="7"/>
        <v>Y</v>
      </c>
      <c r="R18" s="93" t="str">
        <f t="shared" si="8"/>
        <v>CSEEVE</v>
      </c>
      <c r="S18" s="93" t="str">
        <f t="shared" si="9"/>
        <v>TL-Evening Shift Premium-CSE</v>
      </c>
      <c r="T18" s="93">
        <f>ROUND(O18,2)</f>
        <v>1.77</v>
      </c>
    </row>
    <row r="19" spans="1:20" x14ac:dyDescent="0.4">
      <c r="A19" s="96"/>
      <c r="H19" s="79"/>
      <c r="P19" s="107"/>
      <c r="R19" s="93"/>
      <c r="S19" s="93"/>
      <c r="T19" s="93"/>
    </row>
    <row r="20" spans="1:20" x14ac:dyDescent="0.4">
      <c r="A20" s="150" t="s">
        <v>38</v>
      </c>
      <c r="H20" s="79"/>
      <c r="P20" s="107"/>
      <c r="R20" s="93"/>
      <c r="S20" s="93"/>
      <c r="T20" s="93"/>
    </row>
    <row r="21" spans="1:20" x14ac:dyDescent="0.4">
      <c r="A21" s="139" t="s">
        <v>180</v>
      </c>
      <c r="H21" s="79"/>
      <c r="P21" s="107"/>
      <c r="R21" s="93"/>
      <c r="S21" s="93"/>
      <c r="T21" s="93"/>
    </row>
    <row r="22" spans="1:20" x14ac:dyDescent="0.4">
      <c r="A22" s="140" t="s">
        <v>81</v>
      </c>
      <c r="C22" s="96" t="str">
        <f>"For all hours worked on shifts that begin between 6:00 a.m. and 1:59 p.m., employees shall be paid a premium of "&amp;TEXT(O22,"$0.00")&amp;" per hour."</f>
        <v>For all hours worked on shifts that begin between 6:00 a.m. and 1:59 p.m., employees shall be paid a premium of $1.49 per hour.</v>
      </c>
      <c r="H22" s="79"/>
      <c r="L22" s="80" t="s">
        <v>206</v>
      </c>
      <c r="M22" s="80" t="s">
        <v>151</v>
      </c>
      <c r="N22" s="81" t="s">
        <v>152</v>
      </c>
      <c r="O22" s="84">
        <f>IF(L22="Y",VLOOKUP(M22,October2021Rates,3,0)*IncrPerc2022,VLOOKUP(M22,October2021Rates,3,0))</f>
        <v>1.49014740234375</v>
      </c>
      <c r="P22" s="107"/>
      <c r="Q22" s="101" t="str">
        <f t="shared" ref="Q22:Q24" si="10">L22</f>
        <v>Y</v>
      </c>
      <c r="R22" s="93" t="str">
        <f t="shared" ref="R22:R24" si="11">M22</f>
        <v>CSEWK1</v>
      </c>
      <c r="S22" s="93" t="str">
        <f t="shared" ref="S22:S24" si="12">N22</f>
        <v>TL-Sat/Sun1st Shift CSE</v>
      </c>
      <c r="T22" s="93">
        <f t="shared" ref="T22:T24" si="13">ROUND(O22,2)</f>
        <v>1.49</v>
      </c>
    </row>
    <row r="23" spans="1:20" x14ac:dyDescent="0.4">
      <c r="A23" s="140" t="s">
        <v>82</v>
      </c>
      <c r="C23" s="96" t="str">
        <f>"For all hours worked on shifts that begin between 2:00 p.m. and 8:59 p.m., employees shall be paid a premium of "&amp;TEXT(O23,"$0.00")&amp;" per hour."</f>
        <v>For all hours worked on shifts that begin between 2:00 p.m. and 8:59 p.m., employees shall be paid a premium of $1.99 per hour.</v>
      </c>
      <c r="H23" s="79"/>
      <c r="L23" s="80" t="s">
        <v>206</v>
      </c>
      <c r="M23" s="80" t="s">
        <v>153</v>
      </c>
      <c r="N23" s="81" t="s">
        <v>154</v>
      </c>
      <c r="O23" s="84">
        <f>IF(L23="Y",VLOOKUP(M23,October2021Rates,3,0)*IncrPerc2022,VLOOKUP(M23,October2021Rates,3,0))</f>
        <v>1.9868632031249995</v>
      </c>
      <c r="P23" s="107"/>
      <c r="Q23" s="101" t="str">
        <f t="shared" si="10"/>
        <v>Y</v>
      </c>
      <c r="R23" s="93" t="str">
        <f t="shared" si="11"/>
        <v>CSEWK2</v>
      </c>
      <c r="S23" s="93" t="str">
        <f t="shared" si="12"/>
        <v>TL-Sat/Sun 2ndt Shift CSE</v>
      </c>
      <c r="T23" s="93">
        <f t="shared" si="13"/>
        <v>1.99</v>
      </c>
    </row>
    <row r="24" spans="1:20" x14ac:dyDescent="0.4">
      <c r="A24" s="140" t="s">
        <v>209</v>
      </c>
      <c r="C24" s="96" t="str">
        <f>"For all hours worked on shifts that begin between 9:00 p.m. and 5:59 a.m., employees shall be paid a premium of "&amp;TEXT(O24,"$0.00")&amp;" per hour."</f>
        <v>For all hours worked on shifts that begin between 9:00 p.m. and 5:59 a.m., employees shall be paid a premium of $2.26 per hour.</v>
      </c>
      <c r="H24" s="79"/>
      <c r="L24" s="80" t="s">
        <v>206</v>
      </c>
      <c r="M24" s="80" t="s">
        <v>155</v>
      </c>
      <c r="N24" s="81" t="s">
        <v>156</v>
      </c>
      <c r="O24" s="84">
        <f>IF(L24="Y",VLOOKUP(M24,October2021Rates,3,0)*IncrPerc2022,VLOOKUP(M24,October2021Rates,3,0))</f>
        <v>2.2628164257812498</v>
      </c>
      <c r="P24" s="107"/>
      <c r="Q24" s="101" t="str">
        <f t="shared" si="10"/>
        <v>Y</v>
      </c>
      <c r="R24" s="93" t="str">
        <f t="shared" si="11"/>
        <v>CSEWK3</v>
      </c>
      <c r="S24" s="93" t="str">
        <f t="shared" si="12"/>
        <v>TL-Sat/Sun 3rd Shift CSE</v>
      </c>
      <c r="T24" s="93">
        <f t="shared" si="13"/>
        <v>2.2599999999999998</v>
      </c>
    </row>
    <row r="25" spans="1:20" x14ac:dyDescent="0.4">
      <c r="A25" s="139" t="s">
        <v>84</v>
      </c>
      <c r="C25" s="109"/>
      <c r="H25" s="79"/>
      <c r="P25" s="107"/>
      <c r="R25" s="93"/>
      <c r="S25" s="93"/>
      <c r="T25" s="93"/>
    </row>
    <row r="26" spans="1:20" x14ac:dyDescent="0.4">
      <c r="A26" s="96"/>
      <c r="C26" s="109"/>
      <c r="H26" s="79"/>
      <c r="P26" s="107"/>
      <c r="R26" s="93"/>
      <c r="S26" s="93"/>
      <c r="T26" s="93"/>
    </row>
    <row r="27" spans="1:20" x14ac:dyDescent="0.4">
      <c r="A27" s="110" t="s">
        <v>85</v>
      </c>
      <c r="C27" s="109"/>
      <c r="H27" s="79"/>
      <c r="P27" s="107"/>
      <c r="R27" s="93"/>
      <c r="S27" s="93"/>
      <c r="T27" s="93"/>
    </row>
    <row r="28" spans="1:20" ht="14.25" x14ac:dyDescent="0.45">
      <c r="A28" s="108" t="s">
        <v>210</v>
      </c>
      <c r="H28" s="79"/>
      <c r="K28" s="111"/>
      <c r="L28" s="112"/>
      <c r="P28" s="107"/>
      <c r="R28" s="93"/>
      <c r="S28" s="93"/>
      <c r="T28" s="93"/>
    </row>
    <row r="29" spans="1:20" x14ac:dyDescent="0.4">
      <c r="A29" s="108" t="str">
        <f>"Maintenance Engineer I's &amp; II's, who are certified for EPA Universal CFC Refrigeration shall be paid "&amp;TEXT(O29,"$0.00")&amp;" per hour for all hours paid."</f>
        <v>Maintenance Engineer I's &amp; II's, who are certified for EPA Universal CFC Refrigeration shall be paid $1.00 per hour for all hours paid.</v>
      </c>
      <c r="B29" s="86"/>
      <c r="D29" s="86"/>
      <c r="G29" s="113"/>
      <c r="L29" s="80" t="s">
        <v>10</v>
      </c>
      <c r="M29" s="80" t="s">
        <v>157</v>
      </c>
      <c r="N29" s="81" t="s">
        <v>158</v>
      </c>
      <c r="O29" s="84">
        <f>IF(L29="Y",VLOOKUP(M29,October2021Rates,3,0)*IncrPerc2022,VLOOKUP(M29,October2021Rates,3,0))</f>
        <v>1</v>
      </c>
      <c r="Q29" s="101" t="str">
        <f t="shared" ref="Q29" si="14">L29</f>
        <v>N</v>
      </c>
      <c r="R29" s="93" t="str">
        <f t="shared" ref="R29" si="15">M29</f>
        <v>CSEEPA</v>
      </c>
      <c r="S29" s="93" t="str">
        <f t="shared" ref="S29" si="16">N29</f>
        <v>EPA Univ CFC Refrigeration</v>
      </c>
      <c r="T29" s="93">
        <f>ROUND(O29,2)</f>
        <v>1</v>
      </c>
    </row>
    <row r="30" spans="1:20" x14ac:dyDescent="0.4">
      <c r="A30" s="108"/>
      <c r="B30" s="86"/>
      <c r="D30" s="86"/>
      <c r="G30" s="113"/>
      <c r="N30" s="114"/>
      <c r="O30" s="115"/>
      <c r="R30" s="93"/>
      <c r="S30" s="93"/>
      <c r="T30" s="93"/>
    </row>
    <row r="31" spans="1:20" x14ac:dyDescent="0.4">
      <c r="A31" s="108" t="s">
        <v>211</v>
      </c>
      <c r="H31" s="79"/>
      <c r="K31" s="86"/>
      <c r="L31" s="116"/>
      <c r="R31" s="93"/>
      <c r="S31" s="93"/>
      <c r="T31" s="93"/>
    </row>
    <row r="32" spans="1:20" x14ac:dyDescent="0.4">
      <c r="A32" s="108" t="s">
        <v>212</v>
      </c>
      <c r="R32" s="93"/>
      <c r="S32" s="93"/>
      <c r="T32" s="93"/>
    </row>
    <row r="33" spans="1:20" x14ac:dyDescent="0.4">
      <c r="A33" s="117" t="str">
        <f>TEXT(O33,"$0.00")&amp;" per hour for all hours paid."</f>
        <v>$1.00 per hour for all hours paid.</v>
      </c>
      <c r="H33" s="79"/>
      <c r="L33" s="80" t="s">
        <v>10</v>
      </c>
      <c r="M33" s="80" t="s">
        <v>159</v>
      </c>
      <c r="N33" s="81" t="s">
        <v>160</v>
      </c>
      <c r="O33" s="84">
        <f>IF(L33="Y",VLOOKUP(M33,October2021Rates,3,0)*IncrPerc2022,VLOOKUP(M33,October2021Rates,3,0))</f>
        <v>1</v>
      </c>
      <c r="Q33" s="101" t="str">
        <f t="shared" ref="Q33" si="17">L33</f>
        <v>N</v>
      </c>
      <c r="R33" s="93" t="str">
        <f t="shared" ref="R33" si="18">M33</f>
        <v>CSELME</v>
      </c>
      <c r="S33" s="93" t="str">
        <f t="shared" ref="S33" si="19">N33</f>
        <v>Pow ltd lic/Lic Maint Elect</v>
      </c>
      <c r="T33" s="93">
        <f>ROUND(O33,2)</f>
        <v>1</v>
      </c>
    </row>
    <row r="34" spans="1:20" x14ac:dyDescent="0.4">
      <c r="A34" s="118"/>
      <c r="H34" s="79"/>
      <c r="R34" s="93"/>
      <c r="S34" s="93"/>
      <c r="T34" s="93"/>
    </row>
    <row r="35" spans="1:20" ht="12.75" customHeight="1" x14ac:dyDescent="0.4">
      <c r="A35" s="108" t="s">
        <v>213</v>
      </c>
      <c r="H35" s="79"/>
      <c r="K35" s="86"/>
      <c r="L35" s="116"/>
      <c r="R35" s="93"/>
      <c r="S35" s="93"/>
      <c r="T35" s="93"/>
    </row>
    <row r="36" spans="1:20" ht="12.75" customHeight="1" x14ac:dyDescent="0.4">
      <c r="A36" s="108" t="str">
        <f>"as 'Gas Fitters' at the discretion of management. Designated Gas Fitters shall be paid a premium of "&amp;TEXT(O36,"$0.00")&amp;" per hour for all the hours performing work that requires the certificate."</f>
        <v>as 'Gas Fitters' at the discretion of management. Designated Gas Fitters shall be paid a premium of $1.00 per hour for all the hours performing work that requires the certificate.</v>
      </c>
      <c r="H36" s="79"/>
      <c r="K36" s="86"/>
      <c r="L36" s="80" t="s">
        <v>10</v>
      </c>
      <c r="M36" s="80" t="s">
        <v>161</v>
      </c>
      <c r="N36" s="81" t="s">
        <v>162</v>
      </c>
      <c r="O36" s="84">
        <f>IF(L36="Y",VLOOKUP(M36,October2021Rates,3,0)*IncrPerc2022,VLOOKUP(M36,October2021Rates,3,0))</f>
        <v>1</v>
      </c>
      <c r="Q36" s="101" t="str">
        <f t="shared" ref="Q36" si="20">L36</f>
        <v>N</v>
      </c>
      <c r="R36" s="93" t="str">
        <f t="shared" ref="R36" si="21">M36</f>
        <v>CSEGAS</v>
      </c>
      <c r="S36" s="93" t="str">
        <f t="shared" ref="S36" si="22">N36</f>
        <v>TL-Citys Gas Fitting-CSE</v>
      </c>
      <c r="T36" s="93">
        <f>ROUND(O36,2)</f>
        <v>1</v>
      </c>
    </row>
    <row r="37" spans="1:20" ht="12.75" customHeight="1" x14ac:dyDescent="0.4">
      <c r="A37" s="108"/>
      <c r="G37" s="113"/>
      <c r="R37" s="93"/>
      <c r="S37" s="93"/>
      <c r="T37" s="93"/>
    </row>
    <row r="38" spans="1:20" ht="12.75" customHeight="1" x14ac:dyDescent="0.4">
      <c r="A38" s="119" t="s">
        <v>214</v>
      </c>
      <c r="G38" s="113"/>
      <c r="R38" s="93"/>
      <c r="S38" s="93"/>
      <c r="T38" s="93"/>
    </row>
    <row r="39" spans="1:20" ht="12.75" customHeight="1" x14ac:dyDescent="0.4">
      <c r="A39" s="119" t="str">
        <f>"Certification shall be paid "&amp;TEXT(O39,"$0.00")&amp;" per hour for all hours paid."</f>
        <v>Certification shall be paid $0.20 per hour for all hours paid.</v>
      </c>
      <c r="G39" s="113"/>
      <c r="L39" s="80" t="s">
        <v>10</v>
      </c>
      <c r="M39" s="80" t="s">
        <v>163</v>
      </c>
      <c r="N39" s="81" t="s">
        <v>164</v>
      </c>
      <c r="O39" s="84">
        <f>IF(L39="Y",VLOOKUP(M39,October2021Rates,3,0)*IncrPerc2022,VLOOKUP(M39,October2021Rates,3,0))</f>
        <v>0.2</v>
      </c>
      <c r="Q39" s="101" t="str">
        <f t="shared" ref="Q39" si="23">L39</f>
        <v>N</v>
      </c>
      <c r="R39" s="93" t="str">
        <f t="shared" ref="R39" si="24">M39</f>
        <v>CSEABC</v>
      </c>
      <c r="S39" s="93" t="str">
        <f t="shared" ref="S39" si="25">N39</f>
        <v>ABC Plant Mntc Tech Class 2</v>
      </c>
      <c r="T39" s="93">
        <f>ROUND(O39,2)</f>
        <v>0.2</v>
      </c>
    </row>
    <row r="40" spans="1:20" ht="12.75" customHeight="1" x14ac:dyDescent="0.4">
      <c r="A40" s="96"/>
      <c r="H40" s="79"/>
      <c r="R40" s="93"/>
      <c r="S40" s="93"/>
      <c r="T40" s="93"/>
    </row>
    <row r="41" spans="1:20" ht="12.75" customHeight="1" x14ac:dyDescent="0.4">
      <c r="A41" s="118" t="str">
        <f>"Up to a maximum of 3 certified and assigned Stationary Engineers in the Property Services Division may be paid a Fire Extinguisher"</f>
        <v>Up to a maximum of 3 certified and assigned Stationary Engineers in the Property Services Division may be paid a Fire Extinguisher</v>
      </c>
      <c r="G41" s="109"/>
      <c r="H41" s="120"/>
      <c r="L41" s="80" t="s">
        <v>10</v>
      </c>
      <c r="M41" s="80" t="s">
        <v>165</v>
      </c>
      <c r="N41" s="81" t="s">
        <v>166</v>
      </c>
      <c r="O41" s="84">
        <f>IF(L41="Y",VLOOKUP(M41,October2021Rates,3,0)*IncrPerc2022,VLOOKUP(M41,October2021Rates,3,0))</f>
        <v>0.25</v>
      </c>
      <c r="Q41" s="101" t="str">
        <f t="shared" ref="Q41" si="26">L41</f>
        <v>N</v>
      </c>
      <c r="R41" s="93" t="str">
        <f t="shared" ref="R41" si="27">M41</f>
        <v>CSEFEX</v>
      </c>
      <c r="S41" s="93" t="str">
        <f t="shared" ref="S41" si="28">N41</f>
        <v>Fire Extinguisher Spec-Cert</v>
      </c>
      <c r="T41" s="93">
        <f>ROUND(O41,2)</f>
        <v>0.25</v>
      </c>
    </row>
    <row r="42" spans="1:20" ht="12.75" customHeight="1" x14ac:dyDescent="0.4">
      <c r="A42" s="118" t="str">
        <f>"Certification Premium of "&amp;TEXT(O41,"$0.00")&amp;" for all hours paid."</f>
        <v>Certification Premium of $0.25 for all hours paid.</v>
      </c>
      <c r="G42" s="109"/>
      <c r="H42" s="120"/>
      <c r="R42" s="93"/>
      <c r="S42" s="93"/>
      <c r="T42" s="93"/>
    </row>
    <row r="43" spans="1:20" ht="12.75" customHeight="1" x14ac:dyDescent="0.4">
      <c r="A43" s="121"/>
      <c r="G43" s="109"/>
      <c r="H43" s="120"/>
      <c r="R43" s="93"/>
      <c r="S43" s="93"/>
      <c r="T43" s="93"/>
    </row>
    <row r="44" spans="1:20" ht="12.75" customHeight="1" x14ac:dyDescent="0.4">
      <c r="A44" s="121" t="str">
        <f>"A qualified Water Maintenance Technician designated as Chief Engineer is eligible to receive a premium of "&amp;TEXT(O44,"$0.00")&amp;" per hour for all hours paid."</f>
        <v>A qualified Water Maintenance Technician designated as Chief Engineer is eligible to receive a premium of $1.00 per hour for all hours paid.</v>
      </c>
      <c r="G44" s="109"/>
      <c r="H44" s="120"/>
      <c r="L44" s="80" t="s">
        <v>10</v>
      </c>
      <c r="M44" s="80" t="s">
        <v>215</v>
      </c>
      <c r="N44" s="81" t="s">
        <v>216</v>
      </c>
      <c r="O44" s="84">
        <v>1</v>
      </c>
      <c r="Q44" s="101" t="str">
        <f t="shared" ref="Q44" si="29">L44</f>
        <v>N</v>
      </c>
      <c r="R44" s="93" t="str">
        <f t="shared" ref="R44" si="30">M44</f>
        <v>CSECHE</v>
      </c>
      <c r="S44" s="93" t="str">
        <f t="shared" ref="S44" si="31">N44</f>
        <v>Chief Engineer Prem</v>
      </c>
      <c r="T44" s="93">
        <f>ROUND(O44,2)</f>
        <v>1</v>
      </c>
    </row>
    <row r="45" spans="1:20" x14ac:dyDescent="0.4">
      <c r="A45" s="122"/>
      <c r="D45" s="122"/>
      <c r="H45" s="79"/>
      <c r="R45" s="93"/>
      <c r="S45" s="93"/>
      <c r="T45" s="93"/>
    </row>
    <row r="46" spans="1:20" x14ac:dyDescent="0.4">
      <c r="A46" s="110" t="s">
        <v>56</v>
      </c>
      <c r="H46" s="79"/>
      <c r="R46" s="93"/>
      <c r="S46" s="93"/>
      <c r="T46" s="93"/>
    </row>
    <row r="47" spans="1:20" x14ac:dyDescent="0.4">
      <c r="A47" s="96" t="s">
        <v>217</v>
      </c>
      <c r="H47" s="79"/>
      <c r="R47" s="93"/>
      <c r="S47" s="93"/>
      <c r="T47" s="93"/>
    </row>
    <row r="48" spans="1:20" x14ac:dyDescent="0.4">
      <c r="A48" s="97">
        <f>O48</f>
        <v>0.39004332303124989</v>
      </c>
      <c r="B48" s="123" t="s">
        <v>59</v>
      </c>
      <c r="H48" s="79"/>
      <c r="L48" s="80" t="s">
        <v>206</v>
      </c>
      <c r="M48" s="80" t="s">
        <v>167</v>
      </c>
      <c r="O48" s="100">
        <f>IF(L48="Y",VLOOKUP(M48,October2021Rates,3,0)*IncrPerc2022,VLOOKUP(M48,October2021Rates,3,0))</f>
        <v>0.39004332303124989</v>
      </c>
      <c r="Q48" s="101" t="str">
        <f>L48</f>
        <v>Y</v>
      </c>
      <c r="R48" s="93" t="str">
        <f>M48</f>
        <v>10th</v>
      </c>
      <c r="S48" s="93">
        <f>N48</f>
        <v>0</v>
      </c>
      <c r="T48" s="93">
        <f>ROUND(O48,3)</f>
        <v>0.39</v>
      </c>
    </row>
    <row r="49" spans="1:20" x14ac:dyDescent="0.4">
      <c r="A49" s="97">
        <f t="shared" ref="A49:A51" si="32">O49</f>
        <v>0.47335912001562491</v>
      </c>
      <c r="B49" s="123" t="s">
        <v>60</v>
      </c>
      <c r="H49" s="79"/>
      <c r="L49" s="80" t="s">
        <v>206</v>
      </c>
      <c r="M49" s="80" t="s">
        <v>168</v>
      </c>
      <c r="O49" s="100">
        <f>IF(L49="Y",VLOOKUP(M49,October2021Rates,3,0)*IncrPerc2022,VLOOKUP(M49,October2021Rates,3,0))</f>
        <v>0.47335912001562491</v>
      </c>
      <c r="Q49" s="101" t="str">
        <f t="shared" ref="Q49:Q51" si="33">L49</f>
        <v>Y</v>
      </c>
      <c r="R49" s="93" t="str">
        <f t="shared" ref="R49:R51" si="34">M49</f>
        <v>15th</v>
      </c>
      <c r="S49" s="93">
        <f t="shared" ref="S49:S51" si="35">N49</f>
        <v>0</v>
      </c>
      <c r="T49" s="93">
        <f t="shared" ref="T49:T51" si="36">ROUND(O49,3)</f>
        <v>0.47299999999999998</v>
      </c>
    </row>
    <row r="50" spans="1:20" x14ac:dyDescent="0.4">
      <c r="A50" s="97">
        <f t="shared" si="32"/>
        <v>0.56117847359374984</v>
      </c>
      <c r="B50" s="123" t="s">
        <v>61</v>
      </c>
      <c r="H50" s="79"/>
      <c r="L50" s="80" t="s">
        <v>206</v>
      </c>
      <c r="M50" s="80" t="s">
        <v>169</v>
      </c>
      <c r="O50" s="100">
        <f>IF(L50="Y",VLOOKUP(M50,October2021Rates,3,0)*IncrPerc2022,VLOOKUP(M50,October2021Rates,3,0))</f>
        <v>0.56117847359374984</v>
      </c>
      <c r="Q50" s="101" t="str">
        <f t="shared" si="33"/>
        <v>Y</v>
      </c>
      <c r="R50" s="93" t="str">
        <f t="shared" si="34"/>
        <v>20th</v>
      </c>
      <c r="S50" s="93">
        <f t="shared" si="35"/>
        <v>0</v>
      </c>
      <c r="T50" s="93">
        <f t="shared" si="36"/>
        <v>0.56100000000000005</v>
      </c>
    </row>
    <row r="51" spans="1:20" x14ac:dyDescent="0.4">
      <c r="A51" s="97">
        <f t="shared" si="32"/>
        <v>0.64674604887499987</v>
      </c>
      <c r="B51" s="123" t="s">
        <v>62</v>
      </c>
      <c r="C51" s="124"/>
      <c r="D51" s="124"/>
      <c r="H51" s="79"/>
      <c r="L51" s="80" t="s">
        <v>206</v>
      </c>
      <c r="M51" s="80" t="s">
        <v>170</v>
      </c>
      <c r="O51" s="100">
        <f>IF(L51="Y",VLOOKUP(M51,October2021Rates,3,0)*IncrPerc2022,VLOOKUP(M51,October2021Rates,3,0))</f>
        <v>0.64674604887499987</v>
      </c>
      <c r="Q51" s="101" t="str">
        <f t="shared" si="33"/>
        <v>Y</v>
      </c>
      <c r="R51" s="93" t="str">
        <f t="shared" si="34"/>
        <v>25th</v>
      </c>
      <c r="S51" s="93">
        <f t="shared" si="35"/>
        <v>0</v>
      </c>
      <c r="T51" s="93">
        <f t="shared" si="36"/>
        <v>0.64700000000000002</v>
      </c>
    </row>
    <row r="52" spans="1:20" x14ac:dyDescent="0.4">
      <c r="A52" s="125"/>
      <c r="B52" s="124"/>
      <c r="C52" s="124"/>
      <c r="D52" s="124"/>
      <c r="H52" s="79"/>
      <c r="R52" s="93"/>
      <c r="S52" s="93"/>
      <c r="T52" s="93"/>
    </row>
    <row r="53" spans="1:20" x14ac:dyDescent="0.4">
      <c r="A53" s="126" t="s">
        <v>63</v>
      </c>
      <c r="B53" s="86"/>
      <c r="C53" s="86"/>
      <c r="D53" s="86"/>
      <c r="H53" s="79"/>
      <c r="J53" s="86"/>
      <c r="K53" s="86"/>
      <c r="L53" s="116"/>
      <c r="M53" s="116"/>
      <c r="R53" s="93"/>
      <c r="S53" s="93"/>
      <c r="T53" s="93"/>
    </row>
    <row r="54" spans="1:20" x14ac:dyDescent="0.4">
      <c r="A54" s="78" t="s">
        <v>64</v>
      </c>
      <c r="H54" s="79"/>
      <c r="R54" s="93"/>
      <c r="S54" s="93"/>
      <c r="T54" s="93"/>
    </row>
    <row r="55" spans="1:20" x14ac:dyDescent="0.4">
      <c r="A55" s="118" t="str">
        <f>TEXT(O55,"$0.00")&amp;" for each weekday the employee is on on-call"</f>
        <v>$40.00 for each weekday the employee is on on-call</v>
      </c>
      <c r="H55" s="79"/>
      <c r="L55" s="80" t="s">
        <v>206</v>
      </c>
      <c r="M55" s="127" t="s">
        <v>171</v>
      </c>
      <c r="N55" s="81" t="s">
        <v>172</v>
      </c>
      <c r="O55" s="84">
        <v>40</v>
      </c>
      <c r="Q55" s="101" t="str">
        <f t="shared" ref="Q55:Q56" si="37">L55</f>
        <v>Y</v>
      </c>
      <c r="R55" s="93" t="str">
        <f t="shared" ref="R55:R56" si="38">M55</f>
        <v>CSECDY</v>
      </c>
      <c r="S55" s="93" t="str">
        <f t="shared" ref="S55:S56" si="39">N55</f>
        <v>TL-On call by the day-CSE</v>
      </c>
      <c r="T55" s="93">
        <f t="shared" ref="T55:T56" si="40">ROUND(O55,2)</f>
        <v>40</v>
      </c>
    </row>
    <row r="56" spans="1:20" x14ac:dyDescent="0.4">
      <c r="A56" s="118" t="str">
        <f>TEXT(O56,"$0.00")&amp;" for each weekend day (Saturday or Sunday) or holiday the employee is on-call"</f>
        <v>$50.00 for each weekend day (Saturday or Sunday) or holiday the employee is on-call</v>
      </c>
      <c r="H56" s="79"/>
      <c r="L56" s="80" t="s">
        <v>206</v>
      </c>
      <c r="M56" s="80" t="s">
        <v>173</v>
      </c>
      <c r="N56" s="81" t="s">
        <v>174</v>
      </c>
      <c r="O56" s="84">
        <v>50</v>
      </c>
      <c r="Q56" s="101" t="str">
        <f t="shared" si="37"/>
        <v>Y</v>
      </c>
      <c r="R56" s="93" t="str">
        <f t="shared" si="38"/>
        <v>CSECWE</v>
      </c>
      <c r="S56" s="93" t="str">
        <f t="shared" si="39"/>
        <v>TL-On call by day Weekend-CSE</v>
      </c>
      <c r="T56" s="93">
        <f t="shared" si="40"/>
        <v>50</v>
      </c>
    </row>
    <row r="57" spans="1:20" x14ac:dyDescent="0.4">
      <c r="A57" s="118" t="s">
        <v>67</v>
      </c>
      <c r="H57" s="79"/>
      <c r="R57" s="93"/>
      <c r="S57" s="93"/>
      <c r="T57" s="93"/>
    </row>
    <row r="58" spans="1:20" x14ac:dyDescent="0.4">
      <c r="A58" s="118" t="s">
        <v>68</v>
      </c>
      <c r="H58" s="79"/>
      <c r="R58" s="93"/>
      <c r="S58" s="93"/>
      <c r="T58" s="93"/>
    </row>
    <row r="59" spans="1:20" x14ac:dyDescent="0.4">
      <c r="R59" s="93"/>
      <c r="S59" s="93"/>
      <c r="T59" s="93"/>
    </row>
    <row r="60" spans="1:20" x14ac:dyDescent="0.4">
      <c r="A60" s="126" t="s">
        <v>218</v>
      </c>
      <c r="R60" s="93"/>
      <c r="S60" s="93"/>
      <c r="T60" s="93"/>
    </row>
    <row r="61" spans="1:20" x14ac:dyDescent="0.4">
      <c r="A61" s="78" t="s">
        <v>219</v>
      </c>
      <c r="R61" s="93"/>
      <c r="S61" s="93"/>
      <c r="T61" s="93"/>
    </row>
    <row r="62" spans="1:20" x14ac:dyDescent="0.4">
      <c r="A62" s="78" t="s">
        <v>220</v>
      </c>
      <c r="N62" s="80"/>
      <c r="O62" s="80"/>
      <c r="R62" s="93"/>
      <c r="S62" s="93"/>
      <c r="T62" s="93"/>
    </row>
    <row r="63" spans="1:20" x14ac:dyDescent="0.4">
      <c r="A63" s="78" t="s">
        <v>221</v>
      </c>
      <c r="L63" s="80" t="s">
        <v>206</v>
      </c>
      <c r="M63" s="80" t="s">
        <v>131</v>
      </c>
      <c r="N63" s="81" t="s">
        <v>132</v>
      </c>
      <c r="O63" s="84">
        <f>IF(L63="Y",VLOOKUP(M63,October2021Rates,3,0)*IncrPerc2022,VLOOKUP(M63,October2021Rates,3,0))</f>
        <v>3.2595000000000001</v>
      </c>
      <c r="Q63" s="101" t="str">
        <f t="shared" ref="Q63:Q65" si="41">L63</f>
        <v>Y</v>
      </c>
      <c r="R63" s="93" t="str">
        <f t="shared" ref="R63:R65" si="42">M63</f>
        <v>CSEW1P</v>
      </c>
      <c r="S63" s="93" t="str">
        <f t="shared" ref="S63:S65" si="43">N63</f>
        <v>Sat/Sun 1st Shft + AM/EVE Shft</v>
      </c>
      <c r="T63" s="93">
        <f t="shared" ref="T63:T65" si="44">ROUND(O63,2)</f>
        <v>3.26</v>
      </c>
    </row>
    <row r="64" spans="1:20" x14ac:dyDescent="0.4">
      <c r="L64" s="80" t="s">
        <v>206</v>
      </c>
      <c r="M64" s="80" t="s">
        <v>133</v>
      </c>
      <c r="N64" s="81" t="s">
        <v>134</v>
      </c>
      <c r="O64" s="84">
        <f>IF(L64="Y",VLOOKUP(M64,October2021Rates,3,0)*IncrPerc2022,VLOOKUP(M64,October2021Rates,3,0))</f>
        <v>3.7514999999999996</v>
      </c>
      <c r="Q64" s="101" t="str">
        <f t="shared" si="41"/>
        <v>Y</v>
      </c>
      <c r="R64" s="93" t="str">
        <f t="shared" si="42"/>
        <v>CSEW2P</v>
      </c>
      <c r="S64" s="93" t="str">
        <f t="shared" si="43"/>
        <v>Sat/Sun 2nd Shft + AM/EVE Shft</v>
      </c>
      <c r="T64" s="93">
        <f t="shared" si="44"/>
        <v>3.75</v>
      </c>
    </row>
    <row r="65" spans="12:20" x14ac:dyDescent="0.4">
      <c r="L65" s="80" t="s">
        <v>206</v>
      </c>
      <c r="M65" s="80" t="s">
        <v>135</v>
      </c>
      <c r="N65" s="81" t="s">
        <v>136</v>
      </c>
      <c r="O65" s="84">
        <f>IF(L65="Y",VLOOKUP(M65,October2021Rates,3,0)*IncrPerc2022,VLOOKUP(M65,October2021Rates,3,0))</f>
        <v>4.0282499999999999</v>
      </c>
      <c r="Q65" s="101" t="str">
        <f t="shared" si="41"/>
        <v>Y</v>
      </c>
      <c r="R65" s="93" t="str">
        <f t="shared" si="42"/>
        <v>CSEW3P</v>
      </c>
      <c r="S65" s="93" t="str">
        <f t="shared" si="43"/>
        <v>Sat/Sun 3rd Shft + AM/EVE Shft</v>
      </c>
      <c r="T65" s="93">
        <f t="shared" si="44"/>
        <v>4.03</v>
      </c>
    </row>
  </sheetData>
  <mergeCells count="1">
    <mergeCell ref="A3:C3"/>
  </mergeCells>
  <pageMargins left="0.2" right="0.2" top="0.75" bottom="0.75" header="0.3" footer="0.3"/>
  <pageSetup scale="97" fitToHeight="0" orientation="landscape" r:id="rId1"/>
  <headerFooter alignWithMargins="0">
    <oddFooter>&amp;L&amp;8Last Updated:  &amp;D&amp;R&amp;8Page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E6ED2-4730-4CB5-ACCA-B6D6D6FDA10E}">
  <sheetPr>
    <tabColor theme="1"/>
    <pageSetUpPr fitToPage="1"/>
  </sheetPr>
  <dimension ref="A1:T65"/>
  <sheetViews>
    <sheetView showGridLines="0" topLeftCell="F26" workbookViewId="0">
      <selection activeCell="U3" sqref="K1:U1048576"/>
    </sheetView>
  </sheetViews>
  <sheetFormatPr defaultColWidth="9.1328125" defaultRowHeight="13.15" x14ac:dyDescent="0.4"/>
  <cols>
    <col min="1" max="1" width="9.1328125" style="78"/>
    <col min="2" max="2" width="7" style="78" customWidth="1"/>
    <col min="3" max="3" width="12.59765625" style="78" customWidth="1"/>
    <col min="4" max="4" width="57.73046875" style="78" bestFit="1" customWidth="1"/>
    <col min="5" max="5" width="6.1328125" style="78" customWidth="1"/>
    <col min="6" max="6" width="7.1328125" style="78" customWidth="1"/>
    <col min="7" max="7" width="8.265625" style="78" customWidth="1"/>
    <col min="8" max="8" width="11.73046875" style="78" customWidth="1"/>
    <col min="9" max="9" width="22.1328125" style="78" bestFit="1" customWidth="1"/>
    <col min="10" max="10" width="11.59765625" style="78" customWidth="1"/>
    <col min="11" max="11" width="7.265625" style="78" customWidth="1"/>
    <col min="12" max="12" width="16.265625" style="80" customWidth="1"/>
    <col min="13" max="13" width="7.3984375" style="80" customWidth="1"/>
    <col min="14" max="14" width="25.86328125" style="81" customWidth="1"/>
    <col min="15" max="15" width="7.73046875" style="84" customWidth="1"/>
    <col min="16" max="16" width="28.59765625" style="78" customWidth="1"/>
    <col min="17" max="17" width="11" style="83" customWidth="1"/>
    <col min="18" max="18" width="7.3984375" style="83" customWidth="1"/>
    <col min="19" max="19" width="25.86328125" style="83" customWidth="1"/>
    <col min="20" max="20" width="7.3984375" style="83" customWidth="1"/>
    <col min="21" max="16384" width="9.1328125" style="78"/>
  </cols>
  <sheetData>
    <row r="1" spans="1:20" ht="15.75" x14ac:dyDescent="0.5">
      <c r="A1" s="147" t="s">
        <v>191</v>
      </c>
    </row>
    <row r="2" spans="1:20" ht="15.75" x14ac:dyDescent="0.5">
      <c r="A2" s="77" t="s">
        <v>192</v>
      </c>
      <c r="I2" s="79"/>
      <c r="N2" s="81" t="s">
        <v>222</v>
      </c>
      <c r="O2" s="82">
        <v>1.0249999999999999</v>
      </c>
    </row>
    <row r="3" spans="1:20" x14ac:dyDescent="0.4">
      <c r="A3" s="165" t="s">
        <v>223</v>
      </c>
      <c r="B3" s="165"/>
      <c r="C3" s="165"/>
      <c r="H3" s="79"/>
    </row>
    <row r="4" spans="1:20" x14ac:dyDescent="0.4">
      <c r="A4" s="85" t="s">
        <v>195</v>
      </c>
      <c r="B4" s="150"/>
      <c r="C4" s="150"/>
      <c r="H4" s="79"/>
      <c r="L4" s="80" t="s">
        <v>197</v>
      </c>
      <c r="Q4" s="83" t="s">
        <v>198</v>
      </c>
    </row>
    <row r="5" spans="1:20" x14ac:dyDescent="0.4">
      <c r="A5" s="96" t="s">
        <v>196</v>
      </c>
      <c r="B5" s="150"/>
      <c r="C5" s="150"/>
      <c r="H5" s="79"/>
    </row>
    <row r="6" spans="1:20" x14ac:dyDescent="0.4">
      <c r="H6" s="79"/>
      <c r="I6" s="86"/>
      <c r="J6" s="86"/>
    </row>
    <row r="7" spans="1:20" ht="26.25" x14ac:dyDescent="0.4">
      <c r="A7" s="87" t="s">
        <v>199</v>
      </c>
      <c r="B7" s="87" t="s">
        <v>200</v>
      </c>
      <c r="C7" s="87" t="s">
        <v>201</v>
      </c>
      <c r="D7" s="88" t="s">
        <v>5</v>
      </c>
      <c r="E7" s="89" t="s">
        <v>202</v>
      </c>
      <c r="F7" s="87" t="s">
        <v>203</v>
      </c>
      <c r="G7" s="87" t="s">
        <v>204</v>
      </c>
      <c r="H7" s="89" t="s">
        <v>117</v>
      </c>
      <c r="L7" s="80" t="s">
        <v>205</v>
      </c>
      <c r="M7" s="90" t="s">
        <v>140</v>
      </c>
      <c r="N7" s="81" t="s">
        <v>141</v>
      </c>
      <c r="O7" s="84" t="s">
        <v>142</v>
      </c>
      <c r="Q7" s="83" t="s">
        <v>205</v>
      </c>
      <c r="R7" s="91" t="s">
        <v>140</v>
      </c>
      <c r="S7" s="92" t="s">
        <v>141</v>
      </c>
      <c r="T7" s="93" t="s">
        <v>142</v>
      </c>
    </row>
    <row r="8" spans="1:20" x14ac:dyDescent="0.4">
      <c r="A8" s="94" t="s">
        <v>118</v>
      </c>
      <c r="B8" s="95" t="s">
        <v>119</v>
      </c>
      <c r="C8" s="94" t="s">
        <v>11</v>
      </c>
      <c r="D8" s="96" t="s">
        <v>177</v>
      </c>
      <c r="E8" s="94">
        <v>253</v>
      </c>
      <c r="F8" s="94">
        <v>5</v>
      </c>
      <c r="G8" s="94" t="s">
        <v>13</v>
      </c>
      <c r="H8" s="97">
        <f>O8</f>
        <v>33.727567407031728</v>
      </c>
      <c r="I8" s="98"/>
      <c r="L8" s="80" t="s">
        <v>206</v>
      </c>
      <c r="M8" s="99" t="str">
        <f t="shared" ref="M8:M13" si="0">C8</f>
        <v>07300C</v>
      </c>
      <c r="N8" s="81" t="s">
        <v>119</v>
      </c>
      <c r="O8" s="100">
        <f t="shared" ref="O8:O13" si="1">(IF(L8="Y",VLOOKUP(M8,October2022Rates,3,0)*IncrPerc2023,VLOOKUP(M8,October2022Rates,3,0)))</f>
        <v>33.727567407031728</v>
      </c>
      <c r="Q8" s="101" t="str">
        <f>L8</f>
        <v>Y</v>
      </c>
      <c r="R8" s="101" t="str">
        <f>M8</f>
        <v>07300C</v>
      </c>
      <c r="S8" s="92" t="str">
        <f>N8</f>
        <v>03</v>
      </c>
      <c r="T8" s="102">
        <f>ROUND(O8,3)</f>
        <v>33.728000000000002</v>
      </c>
    </row>
    <row r="9" spans="1:20" x14ac:dyDescent="0.4">
      <c r="A9" s="94" t="s">
        <v>118</v>
      </c>
      <c r="B9" s="95" t="s">
        <v>121</v>
      </c>
      <c r="C9" s="94" t="s">
        <v>144</v>
      </c>
      <c r="D9" s="96" t="s">
        <v>178</v>
      </c>
      <c r="E9" s="94">
        <v>320</v>
      </c>
      <c r="F9" s="94">
        <v>7</v>
      </c>
      <c r="G9" s="94" t="s">
        <v>13</v>
      </c>
      <c r="H9" s="97">
        <f t="shared" ref="H9:H13" si="2">O9</f>
        <v>37.777922206669906</v>
      </c>
      <c r="I9" s="98"/>
      <c r="L9" s="80" t="s">
        <v>206</v>
      </c>
      <c r="M9" s="99" t="str">
        <f t="shared" si="0"/>
        <v>59400C</v>
      </c>
      <c r="N9" s="81" t="s">
        <v>121</v>
      </c>
      <c r="O9" s="100">
        <f t="shared" si="1"/>
        <v>37.777922206669906</v>
      </c>
      <c r="Q9" s="101" t="str">
        <f t="shared" ref="Q9:S13" si="3">L9</f>
        <v>Y</v>
      </c>
      <c r="R9" s="101" t="str">
        <f t="shared" si="3"/>
        <v>59400C</v>
      </c>
      <c r="S9" s="92" t="str">
        <f t="shared" si="3"/>
        <v>08</v>
      </c>
      <c r="T9" s="102">
        <f t="shared" ref="T9:T13" si="4">ROUND(O9,3)</f>
        <v>37.777999999999999</v>
      </c>
    </row>
    <row r="10" spans="1:20" x14ac:dyDescent="0.4">
      <c r="A10" s="94" t="s">
        <v>118</v>
      </c>
      <c r="B10" s="95" t="s">
        <v>120</v>
      </c>
      <c r="C10" s="94" t="s">
        <v>18</v>
      </c>
      <c r="D10" s="96" t="s">
        <v>19</v>
      </c>
      <c r="E10" s="94">
        <v>185</v>
      </c>
      <c r="F10" s="94">
        <v>4</v>
      </c>
      <c r="G10" s="94" t="s">
        <v>13</v>
      </c>
      <c r="H10" s="97">
        <f t="shared" si="2"/>
        <v>32.461931096067524</v>
      </c>
      <c r="I10" s="98"/>
      <c r="L10" s="80" t="s">
        <v>206</v>
      </c>
      <c r="M10" s="99" t="str">
        <f t="shared" si="0"/>
        <v>09330C</v>
      </c>
      <c r="N10" s="81" t="s">
        <v>120</v>
      </c>
      <c r="O10" s="100">
        <f t="shared" si="1"/>
        <v>32.461931096067524</v>
      </c>
      <c r="Q10" s="101" t="str">
        <f t="shared" si="3"/>
        <v>Y</v>
      </c>
      <c r="R10" s="101" t="str">
        <f t="shared" si="3"/>
        <v>09330C</v>
      </c>
      <c r="S10" s="92" t="str">
        <f t="shared" si="3"/>
        <v>02</v>
      </c>
      <c r="T10" s="102">
        <f t="shared" si="4"/>
        <v>32.462000000000003</v>
      </c>
    </row>
    <row r="11" spans="1:20" x14ac:dyDescent="0.4">
      <c r="A11" s="94" t="s">
        <v>118</v>
      </c>
      <c r="B11" s="95" t="s">
        <v>119</v>
      </c>
      <c r="C11" s="94" t="s">
        <v>20</v>
      </c>
      <c r="D11" s="96" t="s">
        <v>21</v>
      </c>
      <c r="E11" s="94">
        <v>245</v>
      </c>
      <c r="F11" s="94">
        <v>5</v>
      </c>
      <c r="G11" s="94" t="s">
        <v>13</v>
      </c>
      <c r="H11" s="97">
        <f t="shared" si="2"/>
        <v>33.727567407031728</v>
      </c>
      <c r="I11" s="98"/>
      <c r="L11" s="80" t="s">
        <v>206</v>
      </c>
      <c r="M11" s="99" t="str">
        <f t="shared" si="0"/>
        <v>09340C</v>
      </c>
      <c r="N11" s="81" t="s">
        <v>119</v>
      </c>
      <c r="O11" s="100">
        <f t="shared" si="1"/>
        <v>33.727567407031728</v>
      </c>
      <c r="Q11" s="101" t="str">
        <f t="shared" si="3"/>
        <v>Y</v>
      </c>
      <c r="R11" s="101" t="str">
        <f t="shared" si="3"/>
        <v>09340C</v>
      </c>
      <c r="S11" s="92" t="str">
        <f t="shared" si="3"/>
        <v>03</v>
      </c>
      <c r="T11" s="102">
        <f t="shared" si="4"/>
        <v>33.728000000000002</v>
      </c>
    </row>
    <row r="12" spans="1:20" x14ac:dyDescent="0.4">
      <c r="A12" s="94" t="s">
        <v>118</v>
      </c>
      <c r="B12" s="95" t="s">
        <v>121</v>
      </c>
      <c r="C12" s="94" t="s">
        <v>72</v>
      </c>
      <c r="D12" s="96" t="s">
        <v>98</v>
      </c>
      <c r="E12" s="94">
        <v>320</v>
      </c>
      <c r="F12" s="94">
        <v>7</v>
      </c>
      <c r="G12" s="94" t="s">
        <v>13</v>
      </c>
      <c r="H12" s="97">
        <f t="shared" si="2"/>
        <v>37.777922206669906</v>
      </c>
      <c r="I12" s="98"/>
      <c r="L12" s="80" t="s">
        <v>206</v>
      </c>
      <c r="M12" s="99" t="str">
        <f t="shared" si="0"/>
        <v>09345C</v>
      </c>
      <c r="N12" s="81" t="s">
        <v>121</v>
      </c>
      <c r="O12" s="100">
        <f t="shared" si="1"/>
        <v>37.777922206669906</v>
      </c>
      <c r="Q12" s="101" t="str">
        <f t="shared" si="3"/>
        <v>Y</v>
      </c>
      <c r="R12" s="101" t="str">
        <f t="shared" si="3"/>
        <v>09345C</v>
      </c>
      <c r="S12" s="92" t="str">
        <f t="shared" si="3"/>
        <v>08</v>
      </c>
      <c r="T12" s="102">
        <f t="shared" si="4"/>
        <v>37.777999999999999</v>
      </c>
    </row>
    <row r="13" spans="1:20" x14ac:dyDescent="0.4">
      <c r="A13" s="94" t="s">
        <v>118</v>
      </c>
      <c r="B13" s="95" t="s">
        <v>122</v>
      </c>
      <c r="C13" s="94" t="s">
        <v>74</v>
      </c>
      <c r="D13" s="96" t="s">
        <v>99</v>
      </c>
      <c r="E13" s="94">
        <v>258</v>
      </c>
      <c r="F13" s="94">
        <v>5</v>
      </c>
      <c r="G13" s="94" t="s">
        <v>13</v>
      </c>
      <c r="H13" s="97">
        <f t="shared" si="2"/>
        <v>33.839490217597636</v>
      </c>
      <c r="I13" s="98"/>
      <c r="L13" s="80" t="s">
        <v>206</v>
      </c>
      <c r="M13" s="99" t="str">
        <f t="shared" si="0"/>
        <v>10859C</v>
      </c>
      <c r="N13" s="81" t="s">
        <v>122</v>
      </c>
      <c r="O13" s="100">
        <f t="shared" si="1"/>
        <v>33.839490217597636</v>
      </c>
      <c r="Q13" s="101" t="str">
        <f t="shared" si="3"/>
        <v>Y</v>
      </c>
      <c r="R13" s="101" t="str">
        <f t="shared" si="3"/>
        <v>10859C</v>
      </c>
      <c r="S13" s="92" t="str">
        <f t="shared" si="3"/>
        <v>09</v>
      </c>
      <c r="T13" s="102">
        <f t="shared" si="4"/>
        <v>33.838999999999999</v>
      </c>
    </row>
    <row r="14" spans="1:20" x14ac:dyDescent="0.4">
      <c r="A14" s="103"/>
      <c r="B14" s="103"/>
      <c r="C14" s="86"/>
      <c r="D14" s="86"/>
      <c r="E14" s="103"/>
      <c r="F14" s="103"/>
      <c r="G14" s="103"/>
      <c r="H14" s="103"/>
      <c r="I14" s="103"/>
      <c r="J14" s="103"/>
    </row>
    <row r="15" spans="1:20" x14ac:dyDescent="0.4">
      <c r="A15" s="137" t="s">
        <v>207</v>
      </c>
      <c r="B15" s="79"/>
      <c r="C15" s="94"/>
      <c r="D15" s="104"/>
      <c r="E15" s="105"/>
      <c r="F15" s="106"/>
    </row>
    <row r="16" spans="1:20" x14ac:dyDescent="0.4">
      <c r="A16" s="138" t="s">
        <v>35</v>
      </c>
      <c r="H16" s="79"/>
      <c r="P16" s="107"/>
    </row>
    <row r="17" spans="1:20" x14ac:dyDescent="0.4">
      <c r="A17" s="139" t="str">
        <f>"Provided that an additional "&amp;TEXT(O17,"$0.00")&amp;" per hour shall be paid, for all hours worked to employees whose regularly scheduled shift begins"</f>
        <v>Provided that an additional $1.81 per hour shall be paid, for all hours worked to employees whose regularly scheduled shift begins</v>
      </c>
      <c r="H17" s="79"/>
      <c r="L17" s="80" t="s">
        <v>206</v>
      </c>
      <c r="M17" s="80" t="s">
        <v>147</v>
      </c>
      <c r="N17" s="81" t="s">
        <v>148</v>
      </c>
      <c r="O17" s="84">
        <f>IF(L17="Y",VLOOKUP(M17,October2022Rates,3,0)*IncrPerc2023,VLOOKUP(M17,October2022Rates,3,0))</f>
        <v>1.8091762499999995</v>
      </c>
      <c r="P17" s="107"/>
      <c r="Q17" s="101" t="str">
        <f t="shared" ref="Q17:S18" si="5">L17</f>
        <v>Y</v>
      </c>
      <c r="R17" s="93" t="str">
        <f t="shared" si="5"/>
        <v>CSEAM1</v>
      </c>
      <c r="S17" s="93" t="str">
        <f t="shared" si="5"/>
        <v>TL-Morning Shift Premium CSE</v>
      </c>
      <c r="T17" s="93">
        <f>ROUND(O17,2)</f>
        <v>1.81</v>
      </c>
    </row>
    <row r="18" spans="1:20" x14ac:dyDescent="0.4">
      <c r="A18" s="139" t="s">
        <v>208</v>
      </c>
      <c r="H18" s="79"/>
      <c r="L18" s="80" t="s">
        <v>206</v>
      </c>
      <c r="M18" s="80" t="s">
        <v>149</v>
      </c>
      <c r="N18" s="81" t="s">
        <v>150</v>
      </c>
      <c r="O18" s="84">
        <f>IF(L18="Y",VLOOKUP(M18,October2022Rates,3,0)*IncrPerc2023,VLOOKUP(M18,October2022Rates,3,0))</f>
        <v>1.8091762499999995</v>
      </c>
      <c r="P18" s="107"/>
      <c r="Q18" s="101" t="str">
        <f t="shared" si="5"/>
        <v>Y</v>
      </c>
      <c r="R18" s="93" t="str">
        <f t="shared" si="5"/>
        <v>CSEEVE</v>
      </c>
      <c r="S18" s="93" t="str">
        <f t="shared" si="5"/>
        <v>TL-Evening Shift Premium-CSE</v>
      </c>
      <c r="T18" s="93">
        <f>ROUND(O18,2)</f>
        <v>1.81</v>
      </c>
    </row>
    <row r="19" spans="1:20" x14ac:dyDescent="0.4">
      <c r="A19" s="96"/>
      <c r="H19" s="79"/>
      <c r="P19" s="107"/>
      <c r="R19" s="93"/>
      <c r="S19" s="93"/>
      <c r="T19" s="93"/>
    </row>
    <row r="20" spans="1:20" x14ac:dyDescent="0.4">
      <c r="A20" s="150" t="s">
        <v>38</v>
      </c>
      <c r="H20" s="79"/>
      <c r="P20" s="107"/>
      <c r="R20" s="93"/>
      <c r="S20" s="93"/>
      <c r="T20" s="93"/>
    </row>
    <row r="21" spans="1:20" x14ac:dyDescent="0.4">
      <c r="A21" s="139" t="s">
        <v>180</v>
      </c>
      <c r="H21" s="79"/>
      <c r="P21" s="107"/>
      <c r="R21" s="93"/>
      <c r="S21" s="93"/>
      <c r="T21" s="93"/>
    </row>
    <row r="22" spans="1:20" x14ac:dyDescent="0.4">
      <c r="A22" s="140" t="s">
        <v>81</v>
      </c>
      <c r="C22" s="96" t="str">
        <f>"For all hours worked on shifts that begin between 6:00 a.m. and 1:59 p.m., employees shall be paid a premium of "&amp;TEXT(O22,"$0.00")&amp;" per hour."</f>
        <v>For all hours worked on shifts that begin between 6:00 a.m. and 1:59 p.m., employees shall be paid a premium of $1.53 per hour.</v>
      </c>
      <c r="H22" s="79"/>
      <c r="L22" s="80" t="s">
        <v>206</v>
      </c>
      <c r="M22" s="80" t="s">
        <v>151</v>
      </c>
      <c r="N22" s="81" t="s">
        <v>152</v>
      </c>
      <c r="O22" s="84">
        <f>IF(L22="Y",VLOOKUP(M22,October2022Rates,3,0)*IncrPerc2023,VLOOKUP(M22,October2022Rates,3,0))</f>
        <v>1.5274010874023436</v>
      </c>
      <c r="P22" s="107"/>
      <c r="Q22" s="101" t="str">
        <f t="shared" ref="Q22:S24" si="6">L22</f>
        <v>Y</v>
      </c>
      <c r="R22" s="93" t="str">
        <f t="shared" si="6"/>
        <v>CSEWK1</v>
      </c>
      <c r="S22" s="93" t="str">
        <f t="shared" si="6"/>
        <v>TL-Sat/Sun1st Shift CSE</v>
      </c>
      <c r="T22" s="93">
        <f t="shared" ref="T22:T24" si="7">ROUND(O22,2)</f>
        <v>1.53</v>
      </c>
    </row>
    <row r="23" spans="1:20" x14ac:dyDescent="0.4">
      <c r="A23" s="140" t="s">
        <v>82</v>
      </c>
      <c r="C23" s="96" t="str">
        <f>"For all hours worked on shifts that begin between 2:00 p.m. and 8:59 p.m., employees shall be paid a premium of "&amp;TEXT(O23,"$0.00")&amp;" per hour."</f>
        <v>For all hours worked on shifts that begin between 2:00 p.m. and 8:59 p.m., employees shall be paid a premium of $2.04 per hour.</v>
      </c>
      <c r="H23" s="79"/>
      <c r="L23" s="80" t="s">
        <v>206</v>
      </c>
      <c r="M23" s="80" t="s">
        <v>153</v>
      </c>
      <c r="N23" s="81" t="s">
        <v>154</v>
      </c>
      <c r="O23" s="84">
        <f>IF(L23="Y",VLOOKUP(M23,October2022Rates,3,0)*IncrPerc2023,VLOOKUP(M23,October2022Rates,3,0))</f>
        <v>2.0365347832031242</v>
      </c>
      <c r="P23" s="107"/>
      <c r="Q23" s="101" t="str">
        <f t="shared" si="6"/>
        <v>Y</v>
      </c>
      <c r="R23" s="93" t="str">
        <f t="shared" si="6"/>
        <v>CSEWK2</v>
      </c>
      <c r="S23" s="93" t="str">
        <f t="shared" si="6"/>
        <v>TL-Sat/Sun 2ndt Shift CSE</v>
      </c>
      <c r="T23" s="93">
        <f t="shared" si="7"/>
        <v>2.04</v>
      </c>
    </row>
    <row r="24" spans="1:20" x14ac:dyDescent="0.4">
      <c r="A24" s="140" t="s">
        <v>209</v>
      </c>
      <c r="C24" s="96" t="str">
        <f>"For all hours worked on shifts that begin between 9:00 p.m. and 5:59 a.m., employees shall be paid a premium of "&amp;TEXT(O24,"$0.00")&amp;" per hour."</f>
        <v>For all hours worked on shifts that begin between 9:00 p.m. and 5:59 a.m., employees shall be paid a premium of $2.32 per hour.</v>
      </c>
      <c r="H24" s="79"/>
      <c r="L24" s="80" t="s">
        <v>206</v>
      </c>
      <c r="M24" s="80" t="s">
        <v>155</v>
      </c>
      <c r="N24" s="81" t="s">
        <v>156</v>
      </c>
      <c r="O24" s="84">
        <f>IF(L24="Y",VLOOKUP(M24,October2022Rates,3,0)*IncrPerc2023,VLOOKUP(M24,October2022Rates,3,0))</f>
        <v>2.3193868364257808</v>
      </c>
      <c r="P24" s="107"/>
      <c r="Q24" s="101" t="str">
        <f t="shared" si="6"/>
        <v>Y</v>
      </c>
      <c r="R24" s="93" t="str">
        <f t="shared" si="6"/>
        <v>CSEWK3</v>
      </c>
      <c r="S24" s="93" t="str">
        <f t="shared" si="6"/>
        <v>TL-Sat/Sun 3rd Shift CSE</v>
      </c>
      <c r="T24" s="93">
        <f t="shared" si="7"/>
        <v>2.3199999999999998</v>
      </c>
    </row>
    <row r="25" spans="1:20" x14ac:dyDescent="0.4">
      <c r="A25" s="139" t="s">
        <v>84</v>
      </c>
      <c r="C25" s="109"/>
      <c r="H25" s="79"/>
      <c r="P25" s="107"/>
      <c r="R25" s="93"/>
      <c r="S25" s="93"/>
      <c r="T25" s="93"/>
    </row>
    <row r="26" spans="1:20" x14ac:dyDescent="0.4">
      <c r="A26" s="96"/>
      <c r="C26" s="109"/>
      <c r="H26" s="79"/>
      <c r="P26" s="107"/>
      <c r="R26" s="93"/>
      <c r="S26" s="93"/>
      <c r="T26" s="93"/>
    </row>
    <row r="27" spans="1:20" x14ac:dyDescent="0.4">
      <c r="A27" s="110" t="s">
        <v>85</v>
      </c>
      <c r="C27" s="109"/>
      <c r="H27" s="79"/>
      <c r="P27" s="107"/>
      <c r="R27" s="93"/>
      <c r="S27" s="93"/>
      <c r="T27" s="93"/>
    </row>
    <row r="28" spans="1:20" ht="14.25" x14ac:dyDescent="0.45">
      <c r="A28" s="108" t="s">
        <v>210</v>
      </c>
      <c r="H28" s="79"/>
      <c r="K28" s="111"/>
      <c r="L28" s="112"/>
      <c r="P28" s="107"/>
      <c r="R28" s="93"/>
      <c r="S28" s="93"/>
      <c r="T28" s="93"/>
    </row>
    <row r="29" spans="1:20" x14ac:dyDescent="0.4">
      <c r="A29" s="108" t="str">
        <f>"Maintenance Engineer I's &amp; II's, who are certified for EPA Universal CFC Refrigeration shall be paid "&amp;TEXT(O29,"$0.00")&amp;" per hour for all hours paid."</f>
        <v>Maintenance Engineer I's &amp; II's, who are certified for EPA Universal CFC Refrigeration shall be paid $1.00 per hour for all hours paid.</v>
      </c>
      <c r="B29" s="86"/>
      <c r="D29" s="86"/>
      <c r="G29" s="113"/>
      <c r="L29" s="80" t="s">
        <v>10</v>
      </c>
      <c r="M29" s="80" t="s">
        <v>157</v>
      </c>
      <c r="N29" s="81" t="s">
        <v>158</v>
      </c>
      <c r="O29" s="84">
        <f>IF(L29="Y",VLOOKUP(M29,October2022Rates,3,0)*IncrPerc2023,VLOOKUP(M29,October2022Rates,3,0))</f>
        <v>1</v>
      </c>
      <c r="Q29" s="101" t="str">
        <f t="shared" ref="Q29:S29" si="8">L29</f>
        <v>N</v>
      </c>
      <c r="R29" s="93" t="str">
        <f t="shared" si="8"/>
        <v>CSEEPA</v>
      </c>
      <c r="S29" s="93" t="str">
        <f t="shared" si="8"/>
        <v>EPA Univ CFC Refrigeration</v>
      </c>
      <c r="T29" s="93">
        <f>ROUND(O29,2)</f>
        <v>1</v>
      </c>
    </row>
    <row r="30" spans="1:20" x14ac:dyDescent="0.4">
      <c r="A30" s="108"/>
      <c r="B30" s="86"/>
      <c r="D30" s="86"/>
      <c r="G30" s="113"/>
      <c r="N30" s="114"/>
      <c r="O30" s="115"/>
      <c r="R30" s="93"/>
      <c r="S30" s="93"/>
      <c r="T30" s="93"/>
    </row>
    <row r="31" spans="1:20" x14ac:dyDescent="0.4">
      <c r="A31" s="108" t="s">
        <v>211</v>
      </c>
      <c r="H31" s="79"/>
      <c r="K31" s="86"/>
      <c r="L31" s="116"/>
      <c r="R31" s="93"/>
      <c r="S31" s="93"/>
      <c r="T31" s="93"/>
    </row>
    <row r="32" spans="1:20" x14ac:dyDescent="0.4">
      <c r="A32" s="108" t="s">
        <v>212</v>
      </c>
      <c r="R32" s="93"/>
      <c r="S32" s="93"/>
      <c r="T32" s="93"/>
    </row>
    <row r="33" spans="1:20" x14ac:dyDescent="0.4">
      <c r="A33" s="117" t="str">
        <f>TEXT(O33,"$0.00")&amp;" per hour for all hours paid."</f>
        <v>$1.00 per hour for all hours paid.</v>
      </c>
      <c r="H33" s="79"/>
      <c r="L33" s="80" t="s">
        <v>10</v>
      </c>
      <c r="M33" s="80" t="s">
        <v>159</v>
      </c>
      <c r="N33" s="81" t="s">
        <v>160</v>
      </c>
      <c r="O33" s="84">
        <f>IF(L33="Y",VLOOKUP(M33,October2022Rates,3,0)*IncrPerc2023,VLOOKUP(M33,October2022Rates,3,0))</f>
        <v>1</v>
      </c>
      <c r="Q33" s="101" t="str">
        <f t="shared" ref="Q33:S33" si="9">L33</f>
        <v>N</v>
      </c>
      <c r="R33" s="93" t="str">
        <f t="shared" si="9"/>
        <v>CSELME</v>
      </c>
      <c r="S33" s="93" t="str">
        <f t="shared" si="9"/>
        <v>Pow ltd lic/Lic Maint Elect</v>
      </c>
      <c r="T33" s="93">
        <f>ROUND(O33,2)</f>
        <v>1</v>
      </c>
    </row>
    <row r="34" spans="1:20" x14ac:dyDescent="0.4">
      <c r="A34" s="118"/>
      <c r="H34" s="79"/>
      <c r="R34" s="93"/>
      <c r="S34" s="93"/>
      <c r="T34" s="93"/>
    </row>
    <row r="35" spans="1:20" ht="12.75" customHeight="1" x14ac:dyDescent="0.4">
      <c r="A35" s="108" t="s">
        <v>213</v>
      </c>
      <c r="H35" s="79"/>
      <c r="K35" s="86"/>
      <c r="L35" s="116"/>
      <c r="R35" s="93"/>
      <c r="S35" s="93"/>
      <c r="T35" s="93"/>
    </row>
    <row r="36" spans="1:20" ht="12.75" customHeight="1" x14ac:dyDescent="0.4">
      <c r="A36" s="108" t="str">
        <f>"as 'Gas Fitters' at the discretion of management. Designated Gas Fitters shall be paid a premium of "&amp;TEXT(O36,"$0.00")&amp;" per hour for all the hours performing work that requires the certificate."</f>
        <v>as 'Gas Fitters' at the discretion of management. Designated Gas Fitters shall be paid a premium of $1.00 per hour for all the hours performing work that requires the certificate.</v>
      </c>
      <c r="H36" s="79"/>
      <c r="K36" s="86"/>
      <c r="L36" s="80" t="s">
        <v>10</v>
      </c>
      <c r="M36" s="80" t="s">
        <v>161</v>
      </c>
      <c r="N36" s="81" t="s">
        <v>162</v>
      </c>
      <c r="O36" s="84">
        <f>IF(L36="Y",VLOOKUP(M36,October2022Rates,3,0)*IncrPerc2023,VLOOKUP(M36,October2022Rates,3,0))</f>
        <v>1</v>
      </c>
      <c r="Q36" s="101" t="str">
        <f t="shared" ref="Q36:S36" si="10">L36</f>
        <v>N</v>
      </c>
      <c r="R36" s="93" t="str">
        <f t="shared" si="10"/>
        <v>CSEGAS</v>
      </c>
      <c r="S36" s="93" t="str">
        <f t="shared" si="10"/>
        <v>TL-Citys Gas Fitting-CSE</v>
      </c>
      <c r="T36" s="93">
        <f>ROUND(O36,2)</f>
        <v>1</v>
      </c>
    </row>
    <row r="37" spans="1:20" ht="12.75" customHeight="1" x14ac:dyDescent="0.4">
      <c r="A37" s="108"/>
      <c r="G37" s="113"/>
      <c r="R37" s="93"/>
      <c r="S37" s="93"/>
      <c r="T37" s="93"/>
    </row>
    <row r="38" spans="1:20" ht="12.75" customHeight="1" x14ac:dyDescent="0.4">
      <c r="A38" s="119" t="s">
        <v>214</v>
      </c>
      <c r="G38" s="113"/>
      <c r="R38" s="93"/>
      <c r="S38" s="93"/>
      <c r="T38" s="93"/>
    </row>
    <row r="39" spans="1:20" ht="12.75" customHeight="1" x14ac:dyDescent="0.4">
      <c r="A39" s="119" t="str">
        <f>"Certification shall be paid "&amp;TEXT(O39,"$0.00")&amp;" per hour for all hours paid."</f>
        <v>Certification shall be paid $0.20 per hour for all hours paid.</v>
      </c>
      <c r="G39" s="113"/>
      <c r="L39" s="80" t="s">
        <v>10</v>
      </c>
      <c r="M39" s="80" t="s">
        <v>163</v>
      </c>
      <c r="N39" s="81" t="s">
        <v>164</v>
      </c>
      <c r="O39" s="84">
        <f>IF(L39="Y",VLOOKUP(M39,October2022Rates,3,0)*IncrPerc2023,VLOOKUP(M39,October2022Rates,3,0))</f>
        <v>0.2</v>
      </c>
      <c r="Q39" s="101" t="str">
        <f t="shared" ref="Q39:S39" si="11">L39</f>
        <v>N</v>
      </c>
      <c r="R39" s="93" t="str">
        <f t="shared" si="11"/>
        <v>CSEABC</v>
      </c>
      <c r="S39" s="93" t="str">
        <f t="shared" si="11"/>
        <v>ABC Plant Mntc Tech Class 2</v>
      </c>
      <c r="T39" s="93">
        <f>ROUND(O39,2)</f>
        <v>0.2</v>
      </c>
    </row>
    <row r="40" spans="1:20" ht="12.75" customHeight="1" x14ac:dyDescent="0.4">
      <c r="A40" s="96"/>
      <c r="H40" s="79"/>
      <c r="R40" s="93"/>
      <c r="S40" s="93"/>
      <c r="T40" s="93"/>
    </row>
    <row r="41" spans="1:20" ht="12.75" customHeight="1" x14ac:dyDescent="0.4">
      <c r="A41" s="118" t="str">
        <f>"Up to a maximum of 3 certified and assigned Stationary Engineers in the Property Services Division may be paid a Fire Extinguisher"</f>
        <v>Up to a maximum of 3 certified and assigned Stationary Engineers in the Property Services Division may be paid a Fire Extinguisher</v>
      </c>
      <c r="G41" s="109"/>
      <c r="H41" s="120"/>
      <c r="L41" s="80" t="s">
        <v>10</v>
      </c>
      <c r="M41" s="80" t="s">
        <v>165</v>
      </c>
      <c r="N41" s="81" t="s">
        <v>166</v>
      </c>
      <c r="O41" s="84">
        <f>IF(L41="Y",VLOOKUP(M41,October2022Rates,3,0)*IncrPerc2023,VLOOKUP(M41,October2022Rates,3,0))</f>
        <v>0.25</v>
      </c>
      <c r="Q41" s="101" t="str">
        <f t="shared" ref="Q41:S41" si="12">L41</f>
        <v>N</v>
      </c>
      <c r="R41" s="93" t="str">
        <f t="shared" si="12"/>
        <v>CSEFEX</v>
      </c>
      <c r="S41" s="93" t="str">
        <f t="shared" si="12"/>
        <v>Fire Extinguisher Spec-Cert</v>
      </c>
      <c r="T41" s="93">
        <f>ROUND(O41,2)</f>
        <v>0.25</v>
      </c>
    </row>
    <row r="42" spans="1:20" ht="12.75" customHeight="1" x14ac:dyDescent="0.4">
      <c r="A42" s="118" t="str">
        <f>"Certification Premium of "&amp;TEXT(O41,"$0.00")&amp;" for all hours paid."</f>
        <v>Certification Premium of $0.25 for all hours paid.</v>
      </c>
      <c r="G42" s="109"/>
      <c r="H42" s="120"/>
      <c r="R42" s="93"/>
      <c r="S42" s="93"/>
      <c r="T42" s="93"/>
    </row>
    <row r="43" spans="1:20" ht="12.75" customHeight="1" x14ac:dyDescent="0.4">
      <c r="A43" s="121"/>
      <c r="G43" s="109"/>
      <c r="H43" s="120"/>
      <c r="R43" s="93"/>
      <c r="S43" s="93"/>
      <c r="T43" s="93"/>
    </row>
    <row r="44" spans="1:20" ht="12.75" customHeight="1" x14ac:dyDescent="0.4">
      <c r="A44" s="121" t="str">
        <f>"A qualified Water Maintenance Technician designated as Chief Engineer is eligible to receive a premium of "&amp;TEXT(O44,"$0.00")&amp;" per hour for all hours paid."</f>
        <v>A qualified Water Maintenance Technician designated as Chief Engineer is eligible to receive a premium of $1.00 per hour for all hours paid.</v>
      </c>
      <c r="G44" s="109"/>
      <c r="H44" s="120"/>
      <c r="L44" s="80" t="s">
        <v>10</v>
      </c>
      <c r="M44" s="80" t="s">
        <v>215</v>
      </c>
      <c r="N44" s="81" t="s">
        <v>216</v>
      </c>
      <c r="O44" s="84">
        <v>1</v>
      </c>
      <c r="Q44" s="101" t="str">
        <f t="shared" ref="Q44:S44" si="13">L44</f>
        <v>N</v>
      </c>
      <c r="R44" s="93" t="str">
        <f t="shared" si="13"/>
        <v>CSECHE</v>
      </c>
      <c r="S44" s="93" t="str">
        <f t="shared" si="13"/>
        <v>Chief Engineer Prem</v>
      </c>
      <c r="T44" s="93">
        <f>ROUND(O44,2)</f>
        <v>1</v>
      </c>
    </row>
    <row r="45" spans="1:20" x14ac:dyDescent="0.4">
      <c r="A45" s="122"/>
      <c r="D45" s="122"/>
      <c r="H45" s="79"/>
      <c r="R45" s="93"/>
      <c r="S45" s="93"/>
      <c r="T45" s="93"/>
    </row>
    <row r="46" spans="1:20" x14ac:dyDescent="0.4">
      <c r="A46" s="110" t="s">
        <v>56</v>
      </c>
      <c r="H46" s="79"/>
      <c r="R46" s="93"/>
      <c r="S46" s="93"/>
      <c r="T46" s="93"/>
    </row>
    <row r="47" spans="1:20" x14ac:dyDescent="0.4">
      <c r="A47" s="96" t="s">
        <v>217</v>
      </c>
      <c r="H47" s="79"/>
      <c r="R47" s="93"/>
      <c r="S47" s="93"/>
      <c r="T47" s="93"/>
    </row>
    <row r="48" spans="1:20" x14ac:dyDescent="0.4">
      <c r="A48" s="97">
        <f>O48</f>
        <v>0.3997944061070311</v>
      </c>
      <c r="B48" s="123" t="s">
        <v>59</v>
      </c>
      <c r="H48" s="79"/>
      <c r="L48" s="80" t="s">
        <v>206</v>
      </c>
      <c r="M48" s="80" t="s">
        <v>167</v>
      </c>
      <c r="O48" s="100">
        <f>IF(L48="Y",VLOOKUP(M48,October2022Rates,3,0)*IncrPerc2023,VLOOKUP(M48,October2022Rates,3,0))</f>
        <v>0.3997944061070311</v>
      </c>
      <c r="Q48" s="101" t="str">
        <f>L48</f>
        <v>Y</v>
      </c>
      <c r="R48" s="93" t="str">
        <f>M48</f>
        <v>10th</v>
      </c>
      <c r="S48" s="93">
        <f>N48</f>
        <v>0</v>
      </c>
      <c r="T48" s="93">
        <f>ROUND(O48,3)</f>
        <v>0.4</v>
      </c>
    </row>
    <row r="49" spans="1:20" x14ac:dyDescent="0.4">
      <c r="A49" s="97">
        <f t="shared" ref="A49:A51" si="14">O49</f>
        <v>0.48519309801601551</v>
      </c>
      <c r="B49" s="123" t="s">
        <v>60</v>
      </c>
      <c r="H49" s="79"/>
      <c r="L49" s="80" t="s">
        <v>206</v>
      </c>
      <c r="M49" s="80" t="s">
        <v>168</v>
      </c>
      <c r="O49" s="100">
        <f>IF(L49="Y",VLOOKUP(M49,October2022Rates,3,0)*IncrPerc2023,VLOOKUP(M49,October2022Rates,3,0))</f>
        <v>0.48519309801601551</v>
      </c>
      <c r="Q49" s="101" t="str">
        <f t="shared" ref="Q49:S51" si="15">L49</f>
        <v>Y</v>
      </c>
      <c r="R49" s="93" t="str">
        <f t="shared" si="15"/>
        <v>15th</v>
      </c>
      <c r="S49" s="93">
        <f t="shared" si="15"/>
        <v>0</v>
      </c>
      <c r="T49" s="93">
        <f t="shared" ref="T49:T51" si="16">ROUND(O49,3)</f>
        <v>0.48499999999999999</v>
      </c>
    </row>
    <row r="50" spans="1:20" x14ac:dyDescent="0.4">
      <c r="A50" s="97">
        <f t="shared" si="14"/>
        <v>0.5752079354335935</v>
      </c>
      <c r="B50" s="123" t="s">
        <v>61</v>
      </c>
      <c r="H50" s="79"/>
      <c r="L50" s="80" t="s">
        <v>206</v>
      </c>
      <c r="M50" s="80" t="s">
        <v>169</v>
      </c>
      <c r="O50" s="100">
        <f>IF(L50="Y",VLOOKUP(M50,October2022Rates,3,0)*IncrPerc2023,VLOOKUP(M50,October2022Rates,3,0))</f>
        <v>0.5752079354335935</v>
      </c>
      <c r="Q50" s="101" t="str">
        <f t="shared" si="15"/>
        <v>Y</v>
      </c>
      <c r="R50" s="93" t="str">
        <f t="shared" si="15"/>
        <v>20th</v>
      </c>
      <c r="S50" s="93">
        <f t="shared" si="15"/>
        <v>0</v>
      </c>
      <c r="T50" s="93">
        <f t="shared" si="16"/>
        <v>0.57499999999999996</v>
      </c>
    </row>
    <row r="51" spans="1:20" x14ac:dyDescent="0.4">
      <c r="A51" s="97">
        <f t="shared" si="14"/>
        <v>0.66291470009687481</v>
      </c>
      <c r="B51" s="123" t="s">
        <v>62</v>
      </c>
      <c r="C51" s="124"/>
      <c r="D51" s="124"/>
      <c r="H51" s="79"/>
      <c r="L51" s="80" t="s">
        <v>206</v>
      </c>
      <c r="M51" s="80" t="s">
        <v>170</v>
      </c>
      <c r="O51" s="100">
        <f>IF(L51="Y",VLOOKUP(M51,October2022Rates,3,0)*IncrPerc2023,VLOOKUP(M51,October2022Rates,3,0))</f>
        <v>0.66291470009687481</v>
      </c>
      <c r="Q51" s="101" t="str">
        <f t="shared" si="15"/>
        <v>Y</v>
      </c>
      <c r="R51" s="93" t="str">
        <f t="shared" si="15"/>
        <v>25th</v>
      </c>
      <c r="S51" s="93">
        <f t="shared" si="15"/>
        <v>0</v>
      </c>
      <c r="T51" s="93">
        <f t="shared" si="16"/>
        <v>0.66300000000000003</v>
      </c>
    </row>
    <row r="52" spans="1:20" x14ac:dyDescent="0.4">
      <c r="A52" s="125"/>
      <c r="B52" s="124"/>
      <c r="C52" s="124"/>
      <c r="D52" s="124"/>
      <c r="H52" s="79"/>
      <c r="R52" s="93"/>
      <c r="S52" s="93"/>
      <c r="T52" s="93"/>
    </row>
    <row r="53" spans="1:20" x14ac:dyDescent="0.4">
      <c r="A53" s="126" t="s">
        <v>63</v>
      </c>
      <c r="B53" s="86"/>
      <c r="C53" s="86"/>
      <c r="D53" s="86"/>
      <c r="H53" s="79"/>
      <c r="J53" s="86"/>
      <c r="K53" s="86"/>
      <c r="L53" s="116"/>
      <c r="M53" s="116"/>
      <c r="R53" s="93"/>
      <c r="S53" s="93"/>
      <c r="T53" s="93"/>
    </row>
    <row r="54" spans="1:20" x14ac:dyDescent="0.4">
      <c r="A54" s="78" t="s">
        <v>64</v>
      </c>
      <c r="H54" s="79"/>
      <c r="R54" s="93"/>
      <c r="S54" s="93"/>
      <c r="T54" s="93"/>
    </row>
    <row r="55" spans="1:20" x14ac:dyDescent="0.4">
      <c r="A55" s="118" t="str">
        <f>TEXT(O55,"$0.00")&amp;" for each weekday the employee is on on-call"</f>
        <v>$40.00 for each weekday the employee is on on-call</v>
      </c>
      <c r="H55" s="79"/>
      <c r="L55" s="80" t="s">
        <v>206</v>
      </c>
      <c r="M55" s="127" t="s">
        <v>171</v>
      </c>
      <c r="N55" s="81" t="s">
        <v>172</v>
      </c>
      <c r="O55" s="84">
        <v>40</v>
      </c>
      <c r="Q55" s="101" t="str">
        <f t="shared" ref="Q55:S56" si="17">L55</f>
        <v>Y</v>
      </c>
      <c r="R55" s="93" t="str">
        <f t="shared" si="17"/>
        <v>CSECDY</v>
      </c>
      <c r="S55" s="93" t="str">
        <f t="shared" si="17"/>
        <v>TL-On call by the day-CSE</v>
      </c>
      <c r="T55" s="93">
        <f t="shared" ref="T55:T56" si="18">ROUND(O55,2)</f>
        <v>40</v>
      </c>
    </row>
    <row r="56" spans="1:20" x14ac:dyDescent="0.4">
      <c r="A56" s="118" t="str">
        <f>TEXT(O56,"$0.00")&amp;" for each weekend day (Saturday or Sunday) or holiday the employee is on-call"</f>
        <v>$50.00 for each weekend day (Saturday or Sunday) or holiday the employee is on-call</v>
      </c>
      <c r="H56" s="79"/>
      <c r="L56" s="80" t="s">
        <v>206</v>
      </c>
      <c r="M56" s="80" t="s">
        <v>173</v>
      </c>
      <c r="N56" s="81" t="s">
        <v>174</v>
      </c>
      <c r="O56" s="84">
        <v>50</v>
      </c>
      <c r="Q56" s="101" t="str">
        <f t="shared" si="17"/>
        <v>Y</v>
      </c>
      <c r="R56" s="93" t="str">
        <f t="shared" si="17"/>
        <v>CSECWE</v>
      </c>
      <c r="S56" s="93" t="str">
        <f t="shared" si="17"/>
        <v>TL-On call by day Weekend-CSE</v>
      </c>
      <c r="T56" s="93">
        <f t="shared" si="18"/>
        <v>50</v>
      </c>
    </row>
    <row r="57" spans="1:20" x14ac:dyDescent="0.4">
      <c r="A57" s="118" t="s">
        <v>67</v>
      </c>
      <c r="H57" s="79"/>
      <c r="R57" s="93"/>
      <c r="S57" s="93"/>
      <c r="T57" s="93"/>
    </row>
    <row r="58" spans="1:20" x14ac:dyDescent="0.4">
      <c r="A58" s="118" t="s">
        <v>68</v>
      </c>
      <c r="H58" s="79"/>
      <c r="R58" s="93"/>
      <c r="S58" s="93"/>
      <c r="T58" s="93"/>
    </row>
    <row r="59" spans="1:20" x14ac:dyDescent="0.4">
      <c r="R59" s="93"/>
      <c r="S59" s="93"/>
      <c r="T59" s="93"/>
    </row>
    <row r="60" spans="1:20" x14ac:dyDescent="0.4">
      <c r="A60" s="126" t="s">
        <v>218</v>
      </c>
      <c r="R60" s="93"/>
      <c r="S60" s="93"/>
      <c r="T60" s="93"/>
    </row>
    <row r="61" spans="1:20" x14ac:dyDescent="0.4">
      <c r="A61" s="78" t="s">
        <v>219</v>
      </c>
      <c r="R61" s="93"/>
      <c r="S61" s="93"/>
      <c r="T61" s="93"/>
    </row>
    <row r="62" spans="1:20" x14ac:dyDescent="0.4">
      <c r="A62" s="78" t="s">
        <v>220</v>
      </c>
      <c r="N62" s="80"/>
      <c r="O62" s="80"/>
      <c r="R62" s="93"/>
      <c r="S62" s="93"/>
      <c r="T62" s="93"/>
    </row>
    <row r="63" spans="1:20" x14ac:dyDescent="0.4">
      <c r="A63" s="78" t="s">
        <v>221</v>
      </c>
      <c r="L63" s="80" t="s">
        <v>206</v>
      </c>
      <c r="M63" s="80" t="s">
        <v>131</v>
      </c>
      <c r="N63" s="81" t="s">
        <v>132</v>
      </c>
      <c r="O63" s="84">
        <f>IF(L63="Y",VLOOKUP(M63,October2022Rates,3,0)*IncrPerc2023,VLOOKUP(M63,October2022Rates,3,0))</f>
        <v>3.3409874999999998</v>
      </c>
      <c r="Q63" s="101" t="str">
        <f t="shared" ref="Q63:S65" si="19">L63</f>
        <v>Y</v>
      </c>
      <c r="R63" s="93" t="str">
        <f t="shared" si="19"/>
        <v>CSEW1P</v>
      </c>
      <c r="S63" s="93" t="str">
        <f t="shared" si="19"/>
        <v>Sat/Sun 1st Shft + AM/EVE Shft</v>
      </c>
      <c r="T63" s="93">
        <f t="shared" ref="T63:T65" si="20">ROUND(O63,2)</f>
        <v>3.34</v>
      </c>
    </row>
    <row r="64" spans="1:20" x14ac:dyDescent="0.4">
      <c r="L64" s="80" t="s">
        <v>206</v>
      </c>
      <c r="M64" s="80" t="s">
        <v>133</v>
      </c>
      <c r="N64" s="81" t="s">
        <v>134</v>
      </c>
      <c r="O64" s="84">
        <f>IF(L64="Y",VLOOKUP(M64,October2022Rates,3,0)*IncrPerc2023,VLOOKUP(M64,October2022Rates,3,0))</f>
        <v>3.8452874999999991</v>
      </c>
      <c r="Q64" s="101" t="str">
        <f t="shared" si="19"/>
        <v>Y</v>
      </c>
      <c r="R64" s="93" t="str">
        <f t="shared" si="19"/>
        <v>CSEW2P</v>
      </c>
      <c r="S64" s="93" t="str">
        <f t="shared" si="19"/>
        <v>Sat/Sun 2nd Shft + AM/EVE Shft</v>
      </c>
      <c r="T64" s="93">
        <f t="shared" si="20"/>
        <v>3.85</v>
      </c>
    </row>
    <row r="65" spans="12:20" x14ac:dyDescent="0.4">
      <c r="L65" s="80" t="s">
        <v>206</v>
      </c>
      <c r="M65" s="80" t="s">
        <v>135</v>
      </c>
      <c r="N65" s="81" t="s">
        <v>136</v>
      </c>
      <c r="O65" s="84">
        <f>IF(L65="Y",VLOOKUP(M65,October2022Rates,3,0)*IncrPerc2023,VLOOKUP(M65,October2022Rates,3,0))</f>
        <v>4.1289562499999999</v>
      </c>
      <c r="Q65" s="101" t="str">
        <f t="shared" si="19"/>
        <v>Y</v>
      </c>
      <c r="R65" s="93" t="str">
        <f t="shared" si="19"/>
        <v>CSEW3P</v>
      </c>
      <c r="S65" s="93" t="str">
        <f t="shared" si="19"/>
        <v>Sat/Sun 3rd Shft + AM/EVE Shft</v>
      </c>
      <c r="T65" s="93">
        <f t="shared" si="20"/>
        <v>4.13</v>
      </c>
    </row>
  </sheetData>
  <mergeCells count="1">
    <mergeCell ref="A3:C3"/>
  </mergeCells>
  <pageMargins left="0.2" right="0.2" top="0.75" bottom="0.75" header="0.3" footer="0.3"/>
  <pageSetup scale="97" fitToHeight="0" orientation="landscape" r:id="rId1"/>
  <headerFooter alignWithMargins="0">
    <oddFooter>&amp;L&amp;8Last Updated:  &amp;D&amp;R&amp;8Page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A6D95-F9A3-4FA6-9B49-4FEBC25F708A}">
  <sheetPr>
    <tabColor theme="1"/>
    <pageSetUpPr fitToPage="1"/>
  </sheetPr>
  <dimension ref="A1:T66"/>
  <sheetViews>
    <sheetView showGridLines="0" topLeftCell="D3" workbookViewId="0">
      <selection activeCell="E5" sqref="E5"/>
    </sheetView>
  </sheetViews>
  <sheetFormatPr defaultColWidth="9.1328125" defaultRowHeight="13.15" x14ac:dyDescent="0.4"/>
  <cols>
    <col min="1" max="1" width="9.1328125" style="78"/>
    <col min="2" max="2" width="7" style="78" customWidth="1"/>
    <col min="3" max="3" width="12.59765625" style="78" customWidth="1"/>
    <col min="4" max="4" width="57.73046875" style="78" bestFit="1" customWidth="1"/>
    <col min="5" max="5" width="6.1328125" style="78" customWidth="1"/>
    <col min="6" max="6" width="7.1328125" style="78" customWidth="1"/>
    <col min="7" max="7" width="8.265625" style="78" customWidth="1"/>
    <col min="8" max="8" width="7.3984375" style="78" bestFit="1" customWidth="1"/>
    <col min="9" max="9" width="22.1328125" style="78" customWidth="1"/>
    <col min="10" max="10" width="11.59765625" style="78" customWidth="1"/>
    <col min="11" max="11" width="7.265625" style="78" customWidth="1"/>
    <col min="12" max="12" width="16.265625" style="80" customWidth="1"/>
    <col min="13" max="13" width="7.3984375" style="80" customWidth="1"/>
    <col min="14" max="14" width="25.86328125" style="81" customWidth="1"/>
    <col min="15" max="15" width="7.73046875" style="84" customWidth="1"/>
    <col min="16" max="16" width="6.1328125" style="78" customWidth="1"/>
    <col min="17" max="17" width="11" style="83" customWidth="1"/>
    <col min="18" max="18" width="7.3984375" style="83" customWidth="1"/>
    <col min="19" max="19" width="25.86328125" style="83" customWidth="1"/>
    <col min="20" max="20" width="7.3984375" style="83" customWidth="1"/>
    <col min="21" max="21" width="9.1328125" style="78" customWidth="1"/>
    <col min="22" max="16384" width="9.1328125" style="78"/>
  </cols>
  <sheetData>
    <row r="1" spans="1:20" ht="15.75" x14ac:dyDescent="0.5">
      <c r="A1" s="147" t="s">
        <v>191</v>
      </c>
    </row>
    <row r="2" spans="1:20" ht="15.75" x14ac:dyDescent="0.5">
      <c r="A2" s="77" t="s">
        <v>192</v>
      </c>
      <c r="I2" s="79"/>
      <c r="N2" s="81" t="s">
        <v>224</v>
      </c>
      <c r="O2" s="82">
        <f>102%</f>
        <v>1.02</v>
      </c>
    </row>
    <row r="3" spans="1:20" x14ac:dyDescent="0.4">
      <c r="A3" s="165" t="s">
        <v>225</v>
      </c>
      <c r="B3" s="165"/>
      <c r="C3" s="165"/>
      <c r="H3" s="79"/>
    </row>
    <row r="4" spans="1:20" x14ac:dyDescent="0.4">
      <c r="A4" s="85" t="s">
        <v>226</v>
      </c>
      <c r="B4" s="150"/>
      <c r="C4" s="150"/>
      <c r="H4" s="79"/>
    </row>
    <row r="5" spans="1:20" x14ac:dyDescent="0.4">
      <c r="A5" s="96" t="s">
        <v>227</v>
      </c>
      <c r="B5" s="150"/>
      <c r="C5" s="150"/>
      <c r="H5" s="79"/>
    </row>
    <row r="6" spans="1:20" x14ac:dyDescent="0.4">
      <c r="H6" s="79"/>
      <c r="I6" s="86"/>
      <c r="J6" s="86"/>
      <c r="L6" s="80" t="s">
        <v>197</v>
      </c>
      <c r="Q6" s="83" t="s">
        <v>198</v>
      </c>
    </row>
    <row r="7" spans="1:20" ht="26.25" x14ac:dyDescent="0.4">
      <c r="A7" s="87" t="s">
        <v>199</v>
      </c>
      <c r="B7" s="87" t="s">
        <v>200</v>
      </c>
      <c r="C7" s="87" t="s">
        <v>201</v>
      </c>
      <c r="D7" s="88" t="s">
        <v>5</v>
      </c>
      <c r="E7" s="89" t="s">
        <v>202</v>
      </c>
      <c r="F7" s="87" t="s">
        <v>203</v>
      </c>
      <c r="G7" s="87" t="s">
        <v>204</v>
      </c>
      <c r="H7" s="89" t="s">
        <v>117</v>
      </c>
      <c r="L7" s="80" t="s">
        <v>205</v>
      </c>
      <c r="M7" s="90" t="s">
        <v>140</v>
      </c>
      <c r="N7" s="81" t="s">
        <v>141</v>
      </c>
      <c r="O7" s="84" t="s">
        <v>142</v>
      </c>
      <c r="Q7" s="83" t="s">
        <v>205</v>
      </c>
      <c r="R7" s="91" t="s">
        <v>140</v>
      </c>
      <c r="S7" s="92" t="s">
        <v>141</v>
      </c>
      <c r="T7" s="93" t="s">
        <v>142</v>
      </c>
    </row>
    <row r="8" spans="1:20" x14ac:dyDescent="0.4">
      <c r="A8" s="94" t="s">
        <v>118</v>
      </c>
      <c r="B8" s="95" t="s">
        <v>228</v>
      </c>
      <c r="C8" s="94" t="s">
        <v>229</v>
      </c>
      <c r="D8" s="96" t="s">
        <v>230</v>
      </c>
      <c r="E8" s="94">
        <v>168</v>
      </c>
      <c r="F8" s="94">
        <v>3</v>
      </c>
      <c r="G8" s="94" t="s">
        <v>13</v>
      </c>
      <c r="H8" s="97">
        <v>31.422999999999998</v>
      </c>
      <c r="I8" s="98"/>
      <c r="L8" s="80" t="s">
        <v>206</v>
      </c>
      <c r="M8" s="99" t="str">
        <f t="shared" ref="M8" si="0">C8</f>
        <v>59476C</v>
      </c>
      <c r="N8" s="81" t="s">
        <v>228</v>
      </c>
      <c r="O8" s="100">
        <v>31.422999999999998</v>
      </c>
      <c r="Q8" s="101" t="str">
        <f t="shared" ref="Q8:S9" si="1">L8</f>
        <v>Y</v>
      </c>
      <c r="R8" s="101" t="str">
        <f t="shared" si="1"/>
        <v>59476C</v>
      </c>
      <c r="S8" s="92" t="str">
        <f t="shared" si="1"/>
        <v>11</v>
      </c>
      <c r="T8" s="102">
        <f>ROUND(O8,3)</f>
        <v>31.422999999999998</v>
      </c>
    </row>
    <row r="9" spans="1:20" x14ac:dyDescent="0.4">
      <c r="A9" s="94" t="s">
        <v>118</v>
      </c>
      <c r="B9" s="95" t="s">
        <v>119</v>
      </c>
      <c r="C9" s="94" t="s">
        <v>11</v>
      </c>
      <c r="D9" s="96" t="s">
        <v>177</v>
      </c>
      <c r="E9" s="94">
        <v>280</v>
      </c>
      <c r="F9" s="94">
        <v>6</v>
      </c>
      <c r="G9" s="94" t="s">
        <v>13</v>
      </c>
      <c r="H9" s="97">
        <f>O9</f>
        <v>35.633000000000003</v>
      </c>
      <c r="I9" s="98"/>
      <c r="L9" s="80" t="s">
        <v>206</v>
      </c>
      <c r="M9" s="99" t="str">
        <f t="shared" ref="M9:M14" si="2">C9</f>
        <v>07300C</v>
      </c>
      <c r="N9" s="81" t="s">
        <v>119</v>
      </c>
      <c r="O9" s="100">
        <v>35.633000000000003</v>
      </c>
      <c r="Q9" s="101" t="str">
        <f t="shared" si="1"/>
        <v>Y</v>
      </c>
      <c r="R9" s="101" t="str">
        <f t="shared" si="1"/>
        <v>07300C</v>
      </c>
      <c r="S9" s="92" t="str">
        <f t="shared" si="1"/>
        <v>03</v>
      </c>
      <c r="T9" s="102">
        <f>ROUND(O9,3)</f>
        <v>35.633000000000003</v>
      </c>
    </row>
    <row r="10" spans="1:20" x14ac:dyDescent="0.4">
      <c r="A10" s="94" t="s">
        <v>118</v>
      </c>
      <c r="B10" s="95" t="s">
        <v>121</v>
      </c>
      <c r="C10" s="94" t="s">
        <v>144</v>
      </c>
      <c r="D10" s="96" t="s">
        <v>178</v>
      </c>
      <c r="E10" s="94">
        <v>335</v>
      </c>
      <c r="F10" s="94">
        <v>7</v>
      </c>
      <c r="G10" s="94" t="s">
        <v>13</v>
      </c>
      <c r="H10" s="97">
        <f t="shared" ref="H10:H14" si="3">O10</f>
        <v>38.533000000000001</v>
      </c>
      <c r="I10" s="98"/>
      <c r="L10" s="80" t="s">
        <v>206</v>
      </c>
      <c r="M10" s="99" t="str">
        <f t="shared" si="2"/>
        <v>59400C</v>
      </c>
      <c r="N10" s="81" t="s">
        <v>121</v>
      </c>
      <c r="O10" s="100">
        <v>38.533000000000001</v>
      </c>
      <c r="Q10" s="101" t="str">
        <f t="shared" ref="Q10:S14" si="4">L10</f>
        <v>Y</v>
      </c>
      <c r="R10" s="101" t="str">
        <f t="shared" si="4"/>
        <v>59400C</v>
      </c>
      <c r="S10" s="92" t="str">
        <f t="shared" si="4"/>
        <v>08</v>
      </c>
      <c r="T10" s="102">
        <f t="shared" ref="T10:T14" si="5">ROUND(O10,3)</f>
        <v>38.533000000000001</v>
      </c>
    </row>
    <row r="11" spans="1:20" x14ac:dyDescent="0.4">
      <c r="A11" s="94" t="s">
        <v>118</v>
      </c>
      <c r="B11" s="95" t="s">
        <v>120</v>
      </c>
      <c r="C11" s="94" t="s">
        <v>18</v>
      </c>
      <c r="D11" s="96" t="s">
        <v>19</v>
      </c>
      <c r="E11" s="94">
        <v>193</v>
      </c>
      <c r="F11" s="94">
        <v>4</v>
      </c>
      <c r="G11" s="94" t="s">
        <v>13</v>
      </c>
      <c r="H11" s="97">
        <f t="shared" si="3"/>
        <v>34.143999999999998</v>
      </c>
      <c r="I11" s="98"/>
      <c r="L11" s="80" t="s">
        <v>206</v>
      </c>
      <c r="M11" s="99" t="str">
        <f t="shared" si="2"/>
        <v>09330C</v>
      </c>
      <c r="N11" s="81" t="s">
        <v>120</v>
      </c>
      <c r="O11" s="100">
        <v>34.143999999999998</v>
      </c>
      <c r="Q11" s="101" t="str">
        <f t="shared" si="4"/>
        <v>Y</v>
      </c>
      <c r="R11" s="101" t="str">
        <f t="shared" si="4"/>
        <v>09330C</v>
      </c>
      <c r="S11" s="92" t="str">
        <f t="shared" si="4"/>
        <v>02</v>
      </c>
      <c r="T11" s="102">
        <f t="shared" si="5"/>
        <v>34.143999999999998</v>
      </c>
    </row>
    <row r="12" spans="1:20" x14ac:dyDescent="0.4">
      <c r="A12" s="94" t="s">
        <v>118</v>
      </c>
      <c r="B12" s="95" t="s">
        <v>119</v>
      </c>
      <c r="C12" s="94" t="s">
        <v>20</v>
      </c>
      <c r="D12" s="96" t="s">
        <v>21</v>
      </c>
      <c r="E12" s="94">
        <v>273</v>
      </c>
      <c r="F12" s="94">
        <v>6</v>
      </c>
      <c r="G12" s="94" t="s">
        <v>13</v>
      </c>
      <c r="H12" s="97">
        <f t="shared" si="3"/>
        <v>35.633000000000003</v>
      </c>
      <c r="I12" s="98"/>
      <c r="L12" s="80" t="s">
        <v>206</v>
      </c>
      <c r="M12" s="99" t="str">
        <f t="shared" si="2"/>
        <v>09340C</v>
      </c>
      <c r="N12" s="81" t="s">
        <v>119</v>
      </c>
      <c r="O12" s="100">
        <v>35.633000000000003</v>
      </c>
      <c r="Q12" s="101" t="str">
        <f t="shared" si="4"/>
        <v>Y</v>
      </c>
      <c r="R12" s="101" t="str">
        <f t="shared" si="4"/>
        <v>09340C</v>
      </c>
      <c r="S12" s="92" t="str">
        <f t="shared" si="4"/>
        <v>03</v>
      </c>
      <c r="T12" s="102">
        <f t="shared" si="5"/>
        <v>35.633000000000003</v>
      </c>
    </row>
    <row r="13" spans="1:20" x14ac:dyDescent="0.4">
      <c r="A13" s="94" t="s">
        <v>118</v>
      </c>
      <c r="B13" s="95" t="s">
        <v>121</v>
      </c>
      <c r="C13" s="94" t="s">
        <v>72</v>
      </c>
      <c r="D13" s="96" t="s">
        <v>98</v>
      </c>
      <c r="E13" s="94">
        <v>335</v>
      </c>
      <c r="F13" s="94">
        <v>7</v>
      </c>
      <c r="G13" s="94" t="s">
        <v>13</v>
      </c>
      <c r="H13" s="97">
        <f t="shared" si="3"/>
        <v>38.533480650803305</v>
      </c>
      <c r="I13" s="98"/>
      <c r="L13" s="80" t="s">
        <v>206</v>
      </c>
      <c r="M13" s="99" t="str">
        <f t="shared" si="2"/>
        <v>09345C</v>
      </c>
      <c r="N13" s="81" t="s">
        <v>121</v>
      </c>
      <c r="O13" s="100">
        <f t="shared" ref="O13" si="6">(IF(L13="Y",VLOOKUP(M13,October2023Rates,3,0)*IncrPerc2024,VLOOKUP(M13,October2023Rates,3,0)))</f>
        <v>38.533480650803305</v>
      </c>
      <c r="Q13" s="101" t="str">
        <f t="shared" si="4"/>
        <v>Y</v>
      </c>
      <c r="R13" s="101" t="str">
        <f t="shared" si="4"/>
        <v>09345C</v>
      </c>
      <c r="S13" s="92" t="str">
        <f t="shared" si="4"/>
        <v>08</v>
      </c>
      <c r="T13" s="102">
        <f t="shared" si="5"/>
        <v>38.533000000000001</v>
      </c>
    </row>
    <row r="14" spans="1:20" x14ac:dyDescent="0.4">
      <c r="A14" s="94" t="s">
        <v>118</v>
      </c>
      <c r="B14" s="95" t="s">
        <v>231</v>
      </c>
      <c r="C14" s="94" t="s">
        <v>74</v>
      </c>
      <c r="D14" s="96" t="s">
        <v>99</v>
      </c>
      <c r="E14" s="94">
        <v>288</v>
      </c>
      <c r="F14" s="94">
        <v>6</v>
      </c>
      <c r="G14" s="94" t="s">
        <v>13</v>
      </c>
      <c r="H14" s="97">
        <f t="shared" si="3"/>
        <v>36.651000000000003</v>
      </c>
      <c r="I14" s="98"/>
      <c r="L14" s="80" t="s">
        <v>206</v>
      </c>
      <c r="M14" s="99" t="str">
        <f t="shared" si="2"/>
        <v>10859C</v>
      </c>
      <c r="N14" s="81" t="s">
        <v>231</v>
      </c>
      <c r="O14" s="100">
        <v>36.651000000000003</v>
      </c>
      <c r="Q14" s="101" t="str">
        <f t="shared" si="4"/>
        <v>Y</v>
      </c>
      <c r="R14" s="101" t="str">
        <f t="shared" si="4"/>
        <v>10859C</v>
      </c>
      <c r="S14" s="92" t="str">
        <f t="shared" si="4"/>
        <v>12</v>
      </c>
      <c r="T14" s="102">
        <f t="shared" si="5"/>
        <v>36.651000000000003</v>
      </c>
    </row>
    <row r="15" spans="1:20" x14ac:dyDescent="0.4">
      <c r="A15" s="103"/>
      <c r="B15" s="103"/>
      <c r="C15" s="86"/>
      <c r="D15" s="86"/>
      <c r="E15" s="103"/>
      <c r="F15" s="103"/>
      <c r="G15" s="103"/>
      <c r="H15" s="145"/>
      <c r="I15" s="103"/>
      <c r="J15" s="103"/>
    </row>
    <row r="16" spans="1:20" x14ac:dyDescent="0.4">
      <c r="A16" s="137" t="s">
        <v>207</v>
      </c>
      <c r="B16" s="79"/>
      <c r="C16" s="94"/>
      <c r="D16" s="104"/>
      <c r="E16" s="105"/>
      <c r="F16" s="106"/>
    </row>
    <row r="17" spans="1:20" x14ac:dyDescent="0.4">
      <c r="A17" s="138" t="s">
        <v>35</v>
      </c>
      <c r="H17" s="79"/>
      <c r="P17" s="107"/>
    </row>
    <row r="18" spans="1:20" x14ac:dyDescent="0.4">
      <c r="A18" s="139" t="str">
        <f>"Provided that an additional "&amp;TEXT(O18,"$0.00")&amp;" per hour shall be paid, for all hours worked to employees whose regularly scheduled shift begins"</f>
        <v>Provided that an additional $1.85 per hour shall be paid, for all hours worked to employees whose regularly scheduled shift begins</v>
      </c>
      <c r="H18" s="79"/>
      <c r="L18" s="80" t="s">
        <v>206</v>
      </c>
      <c r="M18" s="80" t="s">
        <v>147</v>
      </c>
      <c r="N18" s="81" t="s">
        <v>148</v>
      </c>
      <c r="O18" s="84">
        <f>IF(L18="Y",VLOOKUP(M18,October2023Rates,3,0)*IncrPerc2024,VLOOKUP(M18,October2023Rates,3,0))</f>
        <v>1.8453597749999995</v>
      </c>
      <c r="P18" s="107"/>
      <c r="Q18" s="101" t="str">
        <f t="shared" ref="Q18:S19" si="7">L18</f>
        <v>Y</v>
      </c>
      <c r="R18" s="93" t="str">
        <f t="shared" si="7"/>
        <v>CSEAM1</v>
      </c>
      <c r="S18" s="93" t="str">
        <f t="shared" si="7"/>
        <v>TL-Morning Shift Premium CSE</v>
      </c>
      <c r="T18" s="93">
        <f>ROUND(O18,2)</f>
        <v>1.85</v>
      </c>
    </row>
    <row r="19" spans="1:20" x14ac:dyDescent="0.4">
      <c r="A19" s="139" t="s">
        <v>208</v>
      </c>
      <c r="H19" s="79"/>
      <c r="L19" s="80" t="s">
        <v>206</v>
      </c>
      <c r="M19" s="80" t="s">
        <v>149</v>
      </c>
      <c r="N19" s="81" t="s">
        <v>150</v>
      </c>
      <c r="O19" s="84">
        <f>IF(L19="Y",VLOOKUP(M19,October2023Rates,3,0)*IncrPerc2024,VLOOKUP(M19,October2023Rates,3,0))</f>
        <v>1.8453597749999995</v>
      </c>
      <c r="P19" s="107"/>
      <c r="Q19" s="101" t="str">
        <f t="shared" si="7"/>
        <v>Y</v>
      </c>
      <c r="R19" s="93" t="str">
        <f t="shared" si="7"/>
        <v>CSEEVE</v>
      </c>
      <c r="S19" s="93" t="str">
        <f t="shared" si="7"/>
        <v>TL-Evening Shift Premium-CSE</v>
      </c>
      <c r="T19" s="93">
        <f>ROUND(O19,2)</f>
        <v>1.85</v>
      </c>
    </row>
    <row r="20" spans="1:20" x14ac:dyDescent="0.4">
      <c r="A20" s="96"/>
      <c r="H20" s="79"/>
      <c r="P20" s="107"/>
      <c r="R20" s="93"/>
      <c r="S20" s="93"/>
      <c r="T20" s="93"/>
    </row>
    <row r="21" spans="1:20" x14ac:dyDescent="0.4">
      <c r="A21" s="150" t="s">
        <v>38</v>
      </c>
      <c r="H21" s="79"/>
      <c r="P21" s="107"/>
      <c r="R21" s="93"/>
      <c r="S21" s="93"/>
      <c r="T21" s="93"/>
    </row>
    <row r="22" spans="1:20" x14ac:dyDescent="0.4">
      <c r="A22" s="139" t="s">
        <v>180</v>
      </c>
      <c r="H22" s="79"/>
      <c r="P22" s="107"/>
      <c r="R22" s="93"/>
      <c r="S22" s="93"/>
      <c r="T22" s="93"/>
    </row>
    <row r="23" spans="1:20" x14ac:dyDescent="0.4">
      <c r="A23" s="140" t="s">
        <v>81</v>
      </c>
      <c r="C23" s="96" t="str">
        <f>"For all hours worked on shifts that begin between 6:00 a.m. and 1:59 p.m., employees shall be paid a premium of "&amp;TEXT(O23,"$0.00")&amp;" per hour."</f>
        <v>For all hours worked on shifts that begin between 6:00 a.m. and 1:59 p.m., employees shall be paid a premium of $1.56 per hour.</v>
      </c>
      <c r="H23" s="79"/>
      <c r="L23" s="80" t="s">
        <v>206</v>
      </c>
      <c r="M23" s="80" t="s">
        <v>151</v>
      </c>
      <c r="N23" s="81" t="s">
        <v>152</v>
      </c>
      <c r="O23" s="84">
        <f>IF(L23="Y",VLOOKUP(M23,October2023Rates,3,0)*IncrPerc2024,VLOOKUP(M23,October2023Rates,3,0))</f>
        <v>1.5579491091503905</v>
      </c>
      <c r="P23" s="107"/>
      <c r="Q23" s="101" t="str">
        <f t="shared" ref="Q23:S25" si="8">L23</f>
        <v>Y</v>
      </c>
      <c r="R23" s="93" t="str">
        <f t="shared" si="8"/>
        <v>CSEWK1</v>
      </c>
      <c r="S23" s="93" t="str">
        <f t="shared" si="8"/>
        <v>TL-Sat/Sun1st Shift CSE</v>
      </c>
      <c r="T23" s="93">
        <f t="shared" ref="T23:T25" si="9">ROUND(O23,2)</f>
        <v>1.56</v>
      </c>
    </row>
    <row r="24" spans="1:20" x14ac:dyDescent="0.4">
      <c r="A24" s="140" t="s">
        <v>82</v>
      </c>
      <c r="C24" s="96" t="str">
        <f>"For all hours worked on shifts that begin between 2:00 p.m. and 8:59 p.m., employees shall be paid a premium of "&amp;TEXT(O24,"$0.00")&amp;" per hour."</f>
        <v>For all hours worked on shifts that begin between 2:00 p.m. and 8:59 p.m., employees shall be paid a premium of $2.08 per hour.</v>
      </c>
      <c r="H24" s="79"/>
      <c r="L24" s="80" t="s">
        <v>206</v>
      </c>
      <c r="M24" s="80" t="s">
        <v>153</v>
      </c>
      <c r="N24" s="81" t="s">
        <v>154</v>
      </c>
      <c r="O24" s="84">
        <f>IF(L24="Y",VLOOKUP(M24,October2023Rates,3,0)*IncrPerc2024,VLOOKUP(M24,October2023Rates,3,0))</f>
        <v>2.0772654788671869</v>
      </c>
      <c r="P24" s="107"/>
      <c r="Q24" s="101" t="str">
        <f t="shared" si="8"/>
        <v>Y</v>
      </c>
      <c r="R24" s="93" t="str">
        <f t="shared" si="8"/>
        <v>CSEWK2</v>
      </c>
      <c r="S24" s="93" t="str">
        <f t="shared" si="8"/>
        <v>TL-Sat/Sun 2ndt Shift CSE</v>
      </c>
      <c r="T24" s="93">
        <f t="shared" si="9"/>
        <v>2.08</v>
      </c>
    </row>
    <row r="25" spans="1:20" x14ac:dyDescent="0.4">
      <c r="A25" s="140" t="s">
        <v>209</v>
      </c>
      <c r="C25" s="96" t="str">
        <f>"For all hours worked on shifts that begin between 9:00 p.m. and 5:59 a.m., employees shall be paid a premium of "&amp;TEXT(O25,"$0.00")&amp;" per hour."</f>
        <v>For all hours worked on shifts that begin between 9:00 p.m. and 5:59 a.m., employees shall be paid a premium of $2.37 per hour.</v>
      </c>
      <c r="H25" s="79"/>
      <c r="L25" s="80" t="s">
        <v>206</v>
      </c>
      <c r="M25" s="80" t="s">
        <v>155</v>
      </c>
      <c r="N25" s="81" t="s">
        <v>156</v>
      </c>
      <c r="O25" s="84">
        <f>IF(L25="Y",VLOOKUP(M25,October2023Rates,3,0)*IncrPerc2024,VLOOKUP(M25,October2023Rates,3,0))</f>
        <v>2.3657745731542965</v>
      </c>
      <c r="P25" s="107"/>
      <c r="Q25" s="101" t="str">
        <f t="shared" si="8"/>
        <v>Y</v>
      </c>
      <c r="R25" s="93" t="str">
        <f t="shared" si="8"/>
        <v>CSEWK3</v>
      </c>
      <c r="S25" s="93" t="str">
        <f t="shared" si="8"/>
        <v>TL-Sat/Sun 3rd Shift CSE</v>
      </c>
      <c r="T25" s="93">
        <f t="shared" si="9"/>
        <v>2.37</v>
      </c>
    </row>
    <row r="26" spans="1:20" x14ac:dyDescent="0.4">
      <c r="A26" s="139" t="s">
        <v>84</v>
      </c>
      <c r="C26" s="109"/>
      <c r="H26" s="79"/>
      <c r="P26" s="107"/>
      <c r="R26" s="93"/>
      <c r="S26" s="93"/>
      <c r="T26" s="93"/>
    </row>
    <row r="27" spans="1:20" x14ac:dyDescent="0.4">
      <c r="A27" s="96"/>
      <c r="C27" s="109"/>
      <c r="H27" s="79"/>
      <c r="P27" s="107"/>
      <c r="R27" s="93"/>
      <c r="S27" s="93"/>
      <c r="T27" s="93"/>
    </row>
    <row r="28" spans="1:20" x14ac:dyDescent="0.4">
      <c r="A28" s="110" t="s">
        <v>85</v>
      </c>
      <c r="C28" s="109"/>
      <c r="H28" s="79"/>
      <c r="P28" s="107"/>
      <c r="R28" s="93"/>
      <c r="S28" s="93"/>
      <c r="T28" s="93"/>
    </row>
    <row r="29" spans="1:20" ht="14.25" x14ac:dyDescent="0.45">
      <c r="A29" s="108" t="s">
        <v>210</v>
      </c>
      <c r="H29" s="79"/>
      <c r="K29" s="111"/>
      <c r="L29" s="112"/>
      <c r="P29" s="107"/>
      <c r="R29" s="93"/>
      <c r="S29" s="93"/>
      <c r="T29" s="93"/>
    </row>
    <row r="30" spans="1:20" x14ac:dyDescent="0.4">
      <c r="A30" s="108" t="str">
        <f>"Maintenance Engineer I's &amp; II's, who are certified for EPA Universal CFC Refrigeration shall be paid "&amp;TEXT(O30,"$0.00")&amp;" per hour for all hours paid."</f>
        <v>Maintenance Engineer I's &amp; II's, who are certified for EPA Universal CFC Refrigeration shall be paid $1.00 per hour for all hours paid.</v>
      </c>
      <c r="B30" s="86"/>
      <c r="D30" s="86"/>
      <c r="G30" s="113"/>
      <c r="L30" s="143" t="s">
        <v>10</v>
      </c>
      <c r="M30" s="80" t="s">
        <v>157</v>
      </c>
      <c r="N30" s="81" t="s">
        <v>158</v>
      </c>
      <c r="O30" s="84">
        <f>IF(L30="Y",VLOOKUP(M30,October2023Rates,3,0)*IncrPerc2024,VLOOKUP(M30,October2023Rates,3,0))</f>
        <v>1</v>
      </c>
      <c r="Q30" s="101" t="str">
        <f t="shared" ref="Q30:S30" si="10">L30</f>
        <v>N</v>
      </c>
      <c r="R30" s="93" t="str">
        <f t="shared" si="10"/>
        <v>CSEEPA</v>
      </c>
      <c r="S30" s="93" t="str">
        <f t="shared" si="10"/>
        <v>EPA Univ CFC Refrigeration</v>
      </c>
      <c r="T30" s="93">
        <f>ROUND(O30,2)</f>
        <v>1</v>
      </c>
    </row>
    <row r="31" spans="1:20" x14ac:dyDescent="0.4">
      <c r="A31" s="108"/>
      <c r="B31" s="86"/>
      <c r="D31" s="86"/>
      <c r="G31" s="113"/>
      <c r="L31" s="143"/>
      <c r="N31" s="114"/>
      <c r="O31" s="115"/>
      <c r="R31" s="93"/>
      <c r="S31" s="93"/>
      <c r="T31" s="93"/>
    </row>
    <row r="32" spans="1:20" x14ac:dyDescent="0.4">
      <c r="A32" s="108" t="s">
        <v>211</v>
      </c>
      <c r="H32" s="79"/>
      <c r="K32" s="86"/>
      <c r="L32" s="144"/>
      <c r="R32" s="93"/>
      <c r="S32" s="93"/>
      <c r="T32" s="93"/>
    </row>
    <row r="33" spans="1:20" x14ac:dyDescent="0.4">
      <c r="A33" s="108" t="s">
        <v>212</v>
      </c>
      <c r="L33" s="143"/>
      <c r="R33" s="93"/>
      <c r="S33" s="93"/>
      <c r="T33" s="93"/>
    </row>
    <row r="34" spans="1:20" x14ac:dyDescent="0.4">
      <c r="A34" s="117" t="str">
        <f>TEXT(O34,"$0.00")&amp;" per hour for all hours paid."</f>
        <v>$1.00 per hour for all hours paid.</v>
      </c>
      <c r="H34" s="79"/>
      <c r="L34" s="143" t="s">
        <v>10</v>
      </c>
      <c r="M34" s="80" t="s">
        <v>159</v>
      </c>
      <c r="N34" s="81" t="s">
        <v>160</v>
      </c>
      <c r="O34" s="84">
        <f>IF(L34="Y",VLOOKUP(M34,October2023Rates,3,0)*IncrPerc2024,VLOOKUP(M34,October2023Rates,3,0))</f>
        <v>1</v>
      </c>
      <c r="Q34" s="101" t="str">
        <f t="shared" ref="Q34:S34" si="11">L34</f>
        <v>N</v>
      </c>
      <c r="R34" s="93" t="str">
        <f t="shared" si="11"/>
        <v>CSELME</v>
      </c>
      <c r="S34" s="93" t="str">
        <f t="shared" si="11"/>
        <v>Pow ltd lic/Lic Maint Elect</v>
      </c>
      <c r="T34" s="93">
        <f>ROUND(O34,2)</f>
        <v>1</v>
      </c>
    </row>
    <row r="35" spans="1:20" x14ac:dyDescent="0.4">
      <c r="A35" s="118"/>
      <c r="H35" s="79"/>
      <c r="L35" s="143"/>
      <c r="R35" s="93"/>
      <c r="S35" s="93"/>
      <c r="T35" s="93"/>
    </row>
    <row r="36" spans="1:20" ht="12.75" customHeight="1" x14ac:dyDescent="0.4">
      <c r="A36" s="108" t="s">
        <v>213</v>
      </c>
      <c r="H36" s="79"/>
      <c r="K36" s="86"/>
      <c r="L36" s="144"/>
      <c r="R36" s="93"/>
      <c r="S36" s="93"/>
      <c r="T36" s="93"/>
    </row>
    <row r="37" spans="1:20" ht="12.75" customHeight="1" x14ac:dyDescent="0.4">
      <c r="A37" s="108" t="str">
        <f>"as 'Gas Fitters' at the discretion of management. Designated Gas Fitters shall be paid a premium of "&amp;TEXT(O37,"$0.00")&amp;" per hour for all the hours performing work that requires the certificate."</f>
        <v>as 'Gas Fitters' at the discretion of management. Designated Gas Fitters shall be paid a premium of $1.00 per hour for all the hours performing work that requires the certificate.</v>
      </c>
      <c r="H37" s="79"/>
      <c r="K37" s="86"/>
      <c r="L37" s="143" t="s">
        <v>10</v>
      </c>
      <c r="M37" s="80" t="s">
        <v>161</v>
      </c>
      <c r="N37" s="81" t="s">
        <v>162</v>
      </c>
      <c r="O37" s="84">
        <f>IF(L37="Y",VLOOKUP(M37,October2023Rates,3,0)*IncrPerc2024,VLOOKUP(M37,October2023Rates,3,0))</f>
        <v>1</v>
      </c>
      <c r="Q37" s="101" t="str">
        <f t="shared" ref="Q37:S37" si="12">L37</f>
        <v>N</v>
      </c>
      <c r="R37" s="93" t="str">
        <f t="shared" si="12"/>
        <v>CSEGAS</v>
      </c>
      <c r="S37" s="93" t="str">
        <f t="shared" si="12"/>
        <v>TL-Citys Gas Fitting-CSE</v>
      </c>
      <c r="T37" s="93">
        <f>ROUND(O37,2)</f>
        <v>1</v>
      </c>
    </row>
    <row r="38" spans="1:20" ht="12.75" customHeight="1" x14ac:dyDescent="0.4">
      <c r="A38" s="108"/>
      <c r="G38" s="113"/>
      <c r="L38" s="143"/>
      <c r="R38" s="93"/>
      <c r="S38" s="93"/>
      <c r="T38" s="93"/>
    </row>
    <row r="39" spans="1:20" ht="12.75" customHeight="1" x14ac:dyDescent="0.4">
      <c r="A39" s="146" t="s">
        <v>214</v>
      </c>
      <c r="G39" s="113"/>
      <c r="L39" s="143"/>
      <c r="R39" s="93"/>
      <c r="S39" s="93"/>
      <c r="T39" s="93"/>
    </row>
    <row r="40" spans="1:20" ht="12.75" customHeight="1" x14ac:dyDescent="0.4">
      <c r="A40" s="146" t="str">
        <f>"Certification shall be paid "&amp;TEXT(O40,"$0.00")&amp;" per hour for all hours paid."</f>
        <v>Certification shall be paid $0.20 per hour for all hours paid.</v>
      </c>
      <c r="G40" s="113"/>
      <c r="L40" s="143" t="s">
        <v>10</v>
      </c>
      <c r="M40" s="80" t="s">
        <v>163</v>
      </c>
      <c r="N40" s="81" t="s">
        <v>164</v>
      </c>
      <c r="O40" s="84">
        <f>IF(L40="Y",VLOOKUP(M40,October2023Rates,3,0)*IncrPerc2024,VLOOKUP(M40,October2023Rates,3,0))</f>
        <v>0.2</v>
      </c>
      <c r="Q40" s="101" t="str">
        <f t="shared" ref="Q40:S40" si="13">L40</f>
        <v>N</v>
      </c>
      <c r="R40" s="93" t="str">
        <f t="shared" si="13"/>
        <v>CSEABC</v>
      </c>
      <c r="S40" s="93" t="str">
        <f t="shared" si="13"/>
        <v>ABC Plant Mntc Tech Class 2</v>
      </c>
      <c r="T40" s="93">
        <f>ROUND(O40,2)</f>
        <v>0.2</v>
      </c>
    </row>
    <row r="41" spans="1:20" ht="12.75" customHeight="1" x14ac:dyDescent="0.4">
      <c r="A41" s="96"/>
      <c r="H41" s="79"/>
      <c r="L41" s="143"/>
      <c r="R41" s="93"/>
      <c r="S41" s="93"/>
      <c r="T41" s="93"/>
    </row>
    <row r="42" spans="1:20" ht="12.75" customHeight="1" x14ac:dyDescent="0.4">
      <c r="A42" s="118" t="str">
        <f>"Up to a maximum of 3 certified and assigned Stationary Engineers in the Property Services Division may be paid a Fire Extinguisher"</f>
        <v>Up to a maximum of 3 certified and assigned Stationary Engineers in the Property Services Division may be paid a Fire Extinguisher</v>
      </c>
      <c r="G42" s="109"/>
      <c r="H42" s="120"/>
      <c r="L42" s="143" t="s">
        <v>10</v>
      </c>
      <c r="M42" s="80" t="s">
        <v>165</v>
      </c>
      <c r="N42" s="81" t="s">
        <v>166</v>
      </c>
      <c r="O42" s="84">
        <f>IF(L42="Y",VLOOKUP(M42,October2023Rates,3,0)*IncrPerc2024,VLOOKUP(M42,October2023Rates,3,0))</f>
        <v>0.25</v>
      </c>
      <c r="Q42" s="101" t="str">
        <f t="shared" ref="Q42:S42" si="14">L42</f>
        <v>N</v>
      </c>
      <c r="R42" s="93" t="str">
        <f t="shared" si="14"/>
        <v>CSEFEX</v>
      </c>
      <c r="S42" s="93" t="str">
        <f t="shared" si="14"/>
        <v>Fire Extinguisher Spec-Cert</v>
      </c>
      <c r="T42" s="93">
        <f>ROUND(O42,2)</f>
        <v>0.25</v>
      </c>
    </row>
    <row r="43" spans="1:20" ht="12.75" customHeight="1" x14ac:dyDescent="0.4">
      <c r="A43" s="118" t="str">
        <f>"Certification Premium of "&amp;TEXT(O42,"$0.00")&amp;" for all hours paid."</f>
        <v>Certification Premium of $0.25 for all hours paid.</v>
      </c>
      <c r="G43" s="109"/>
      <c r="H43" s="120"/>
      <c r="L43" s="143"/>
      <c r="R43" s="93"/>
      <c r="S43" s="93"/>
      <c r="T43" s="93"/>
    </row>
    <row r="44" spans="1:20" ht="12.75" customHeight="1" x14ac:dyDescent="0.4">
      <c r="A44" s="121"/>
      <c r="G44" s="109"/>
      <c r="H44" s="120"/>
      <c r="L44" s="143"/>
      <c r="R44" s="93"/>
      <c r="S44" s="93"/>
      <c r="T44" s="93"/>
    </row>
    <row r="45" spans="1:20" ht="12.75" customHeight="1" x14ac:dyDescent="0.4">
      <c r="A45" s="121" t="str">
        <f>"A qualified Water Maintenance Technician designated as Chief Engineer is eligible to receive a premium of "&amp;TEXT(O45,"$0.00")&amp;" per hour for all hours paid."</f>
        <v>A qualified Water Maintenance Technician designated as Chief Engineer is eligible to receive a premium of $1.00 per hour for all hours paid.</v>
      </c>
      <c r="G45" s="109"/>
      <c r="H45" s="120"/>
      <c r="L45" s="143" t="s">
        <v>10</v>
      </c>
      <c r="M45" s="80" t="s">
        <v>215</v>
      </c>
      <c r="N45" s="81" t="s">
        <v>216</v>
      </c>
      <c r="O45" s="84">
        <v>1</v>
      </c>
      <c r="Q45" s="101" t="str">
        <f t="shared" ref="Q45:S45" si="15">L45</f>
        <v>N</v>
      </c>
      <c r="R45" s="93" t="str">
        <f t="shared" si="15"/>
        <v>CSECHE</v>
      </c>
      <c r="S45" s="93" t="str">
        <f t="shared" si="15"/>
        <v>Chief Engineer Prem</v>
      </c>
      <c r="T45" s="93">
        <f>ROUND(O45,2)</f>
        <v>1</v>
      </c>
    </row>
    <row r="46" spans="1:20" x14ac:dyDescent="0.4">
      <c r="A46" s="122"/>
      <c r="D46" s="122"/>
      <c r="H46" s="79"/>
      <c r="L46" s="143"/>
      <c r="R46" s="93"/>
      <c r="S46" s="93"/>
      <c r="T46" s="93"/>
    </row>
    <row r="47" spans="1:20" x14ac:dyDescent="0.4">
      <c r="A47" s="110" t="s">
        <v>56</v>
      </c>
      <c r="H47" s="79"/>
      <c r="L47" s="143"/>
      <c r="R47" s="93"/>
      <c r="S47" s="93"/>
      <c r="T47" s="93"/>
    </row>
    <row r="48" spans="1:20" x14ac:dyDescent="0.4">
      <c r="A48" s="96" t="s">
        <v>217</v>
      </c>
      <c r="H48" s="79"/>
      <c r="L48" s="143"/>
      <c r="R48" s="93"/>
      <c r="S48" s="93"/>
      <c r="T48" s="93"/>
    </row>
    <row r="49" spans="1:20" x14ac:dyDescent="0.4">
      <c r="A49" s="97">
        <f>O49</f>
        <v>0.40779029422917173</v>
      </c>
      <c r="B49" s="123" t="s">
        <v>59</v>
      </c>
      <c r="H49" s="79"/>
      <c r="L49" s="143" t="s">
        <v>206</v>
      </c>
      <c r="M49" s="80" t="s">
        <v>167</v>
      </c>
      <c r="O49" s="100">
        <f>IF(L49="Y",VLOOKUP(M49,October2023Rates,3,0)*IncrPerc2024,VLOOKUP(M49,October2023Rates,3,0))</f>
        <v>0.40779029422917173</v>
      </c>
      <c r="Q49" s="101" t="str">
        <f>L49</f>
        <v>Y</v>
      </c>
      <c r="R49" s="93" t="str">
        <f>M49</f>
        <v>10th</v>
      </c>
      <c r="S49" s="93">
        <f>N49</f>
        <v>0</v>
      </c>
      <c r="T49" s="93">
        <f>ROUND(O49,3)</f>
        <v>0.40799999999999997</v>
      </c>
    </row>
    <row r="50" spans="1:20" x14ac:dyDescent="0.4">
      <c r="A50" s="97">
        <f t="shared" ref="A50:A52" si="16">O50</f>
        <v>0.49489695997633582</v>
      </c>
      <c r="B50" s="123" t="s">
        <v>60</v>
      </c>
      <c r="H50" s="79"/>
      <c r="L50" s="143" t="s">
        <v>206</v>
      </c>
      <c r="M50" s="80" t="s">
        <v>168</v>
      </c>
      <c r="O50" s="100">
        <f>IF(L50="Y",VLOOKUP(M50,October2023Rates,3,0)*IncrPerc2024,VLOOKUP(M50,October2023Rates,3,0))</f>
        <v>0.49489695997633582</v>
      </c>
      <c r="Q50" s="101" t="str">
        <f t="shared" ref="Q50:S52" si="17">L50</f>
        <v>Y</v>
      </c>
      <c r="R50" s="93" t="str">
        <f t="shared" si="17"/>
        <v>15th</v>
      </c>
      <c r="S50" s="93">
        <f t="shared" si="17"/>
        <v>0</v>
      </c>
      <c r="T50" s="93">
        <f t="shared" ref="T50:T52" si="18">ROUND(O50,3)</f>
        <v>0.495</v>
      </c>
    </row>
    <row r="51" spans="1:20" x14ac:dyDescent="0.4">
      <c r="A51" s="97">
        <f t="shared" si="16"/>
        <v>0.58671209414226533</v>
      </c>
      <c r="B51" s="123" t="s">
        <v>61</v>
      </c>
      <c r="H51" s="79"/>
      <c r="L51" s="143" t="s">
        <v>206</v>
      </c>
      <c r="M51" s="80" t="s">
        <v>169</v>
      </c>
      <c r="O51" s="100">
        <f>IF(L51="Y",VLOOKUP(M51,October2023Rates,3,0)*IncrPerc2024,VLOOKUP(M51,October2023Rates,3,0))</f>
        <v>0.58671209414226533</v>
      </c>
      <c r="Q51" s="101" t="str">
        <f t="shared" si="17"/>
        <v>Y</v>
      </c>
      <c r="R51" s="93" t="str">
        <f t="shared" si="17"/>
        <v>20th</v>
      </c>
      <c r="S51" s="93">
        <f t="shared" si="17"/>
        <v>0</v>
      </c>
      <c r="T51" s="93">
        <f t="shared" si="18"/>
        <v>0.58699999999999997</v>
      </c>
    </row>
    <row r="52" spans="1:20" x14ac:dyDescent="0.4">
      <c r="A52" s="97">
        <f t="shared" si="16"/>
        <v>0.67617299409881226</v>
      </c>
      <c r="B52" s="123" t="s">
        <v>62</v>
      </c>
      <c r="C52" s="124"/>
      <c r="D52" s="124"/>
      <c r="H52" s="79"/>
      <c r="L52" s="143" t="s">
        <v>206</v>
      </c>
      <c r="M52" s="80" t="s">
        <v>170</v>
      </c>
      <c r="O52" s="100">
        <f>IF(L52="Y",VLOOKUP(M52,October2023Rates,3,0)*IncrPerc2024,VLOOKUP(M52,October2023Rates,3,0))</f>
        <v>0.67617299409881226</v>
      </c>
      <c r="Q52" s="101" t="str">
        <f t="shared" si="17"/>
        <v>Y</v>
      </c>
      <c r="R52" s="93" t="str">
        <f t="shared" si="17"/>
        <v>25th</v>
      </c>
      <c r="S52" s="93">
        <f t="shared" si="17"/>
        <v>0</v>
      </c>
      <c r="T52" s="93">
        <f t="shared" si="18"/>
        <v>0.67600000000000005</v>
      </c>
    </row>
    <row r="53" spans="1:20" x14ac:dyDescent="0.4">
      <c r="A53" s="125"/>
      <c r="B53" s="124"/>
      <c r="C53" s="124"/>
      <c r="D53" s="124"/>
      <c r="H53" s="79"/>
      <c r="L53" s="143"/>
      <c r="R53" s="93"/>
      <c r="S53" s="93"/>
      <c r="T53" s="93"/>
    </row>
    <row r="54" spans="1:20" x14ac:dyDescent="0.4">
      <c r="A54" s="126" t="s">
        <v>63</v>
      </c>
      <c r="B54" s="86"/>
      <c r="C54" s="86"/>
      <c r="D54" s="86"/>
      <c r="H54" s="79"/>
      <c r="J54" s="86"/>
      <c r="K54" s="86"/>
      <c r="L54" s="144"/>
      <c r="M54" s="116"/>
      <c r="R54" s="93"/>
      <c r="S54" s="93"/>
      <c r="T54" s="93"/>
    </row>
    <row r="55" spans="1:20" x14ac:dyDescent="0.4">
      <c r="A55" s="78" t="s">
        <v>64</v>
      </c>
      <c r="H55" s="79"/>
      <c r="L55" s="143"/>
      <c r="R55" s="93"/>
      <c r="S55" s="93"/>
      <c r="T55" s="93"/>
    </row>
    <row r="56" spans="1:20" x14ac:dyDescent="0.4">
      <c r="A56" s="118" t="str">
        <f>TEXT(O56,"$0.00")&amp;" for each weekday the employee is on on-call"</f>
        <v>$40.00 for each weekday the employee is on on-call</v>
      </c>
      <c r="H56" s="79"/>
      <c r="L56" s="80" t="s">
        <v>10</v>
      </c>
      <c r="M56" s="127" t="s">
        <v>171</v>
      </c>
      <c r="N56" s="81" t="s">
        <v>172</v>
      </c>
      <c r="O56" s="84">
        <v>40</v>
      </c>
      <c r="Q56" s="101" t="str">
        <f t="shared" ref="Q56:S57" si="19">L56</f>
        <v>N</v>
      </c>
      <c r="R56" s="93" t="str">
        <f t="shared" si="19"/>
        <v>CSECDY</v>
      </c>
      <c r="S56" s="93" t="str">
        <f t="shared" si="19"/>
        <v>TL-On call by the day-CSE</v>
      </c>
      <c r="T56" s="93">
        <f t="shared" ref="T56:T57" si="20">ROUND(O56,2)</f>
        <v>40</v>
      </c>
    </row>
    <row r="57" spans="1:20" x14ac:dyDescent="0.4">
      <c r="A57" s="118" t="str">
        <f>TEXT(O57,"$0.00")&amp;" for each weekend day (Saturday or Sunday) or holiday the employee is on-call"</f>
        <v>$50.00 for each weekend day (Saturday or Sunday) or holiday the employee is on-call</v>
      </c>
      <c r="H57" s="79"/>
      <c r="L57" s="80" t="s">
        <v>10</v>
      </c>
      <c r="M57" s="80" t="s">
        <v>173</v>
      </c>
      <c r="N57" s="81" t="s">
        <v>174</v>
      </c>
      <c r="O57" s="84">
        <v>50</v>
      </c>
      <c r="Q57" s="101" t="str">
        <f t="shared" si="19"/>
        <v>N</v>
      </c>
      <c r="R57" s="93" t="str">
        <f t="shared" si="19"/>
        <v>CSECWE</v>
      </c>
      <c r="S57" s="93" t="str">
        <f t="shared" si="19"/>
        <v>TL-On call by day Weekend-CSE</v>
      </c>
      <c r="T57" s="93">
        <f t="shared" si="20"/>
        <v>50</v>
      </c>
    </row>
    <row r="58" spans="1:20" x14ac:dyDescent="0.4">
      <c r="A58" s="118" t="s">
        <v>67</v>
      </c>
      <c r="H58" s="79"/>
      <c r="R58" s="93"/>
      <c r="S58" s="93"/>
      <c r="T58" s="93"/>
    </row>
    <row r="59" spans="1:20" x14ac:dyDescent="0.4">
      <c r="A59" s="118" t="s">
        <v>68</v>
      </c>
      <c r="H59" s="79"/>
      <c r="R59" s="93"/>
      <c r="S59" s="93"/>
      <c r="T59" s="93"/>
    </row>
    <row r="60" spans="1:20" x14ac:dyDescent="0.4">
      <c r="R60" s="93"/>
      <c r="S60" s="93"/>
      <c r="T60" s="93"/>
    </row>
    <row r="61" spans="1:20" x14ac:dyDescent="0.4">
      <c r="A61" s="126" t="s">
        <v>218</v>
      </c>
      <c r="R61" s="93"/>
      <c r="S61" s="93"/>
      <c r="T61" s="93"/>
    </row>
    <row r="62" spans="1:20" x14ac:dyDescent="0.4">
      <c r="A62" s="78" t="s">
        <v>219</v>
      </c>
      <c r="R62" s="93"/>
      <c r="S62" s="93"/>
      <c r="T62" s="93"/>
    </row>
    <row r="63" spans="1:20" x14ac:dyDescent="0.4">
      <c r="A63" s="78" t="s">
        <v>220</v>
      </c>
      <c r="N63" s="80"/>
      <c r="O63" s="80"/>
      <c r="R63" s="93"/>
      <c r="S63" s="93"/>
      <c r="T63" s="93"/>
    </row>
    <row r="64" spans="1:20" x14ac:dyDescent="0.4">
      <c r="A64" s="78" t="s">
        <v>221</v>
      </c>
      <c r="L64" s="80" t="s">
        <v>206</v>
      </c>
      <c r="M64" s="80" t="s">
        <v>131</v>
      </c>
      <c r="N64" s="81" t="s">
        <v>132</v>
      </c>
      <c r="O64" s="84">
        <f>IF(L64="Y",VLOOKUP(M64,October2023Rates,3,0)*IncrPerc2024,VLOOKUP(M64,October2023Rates,3,0))</f>
        <v>3.4078072499999998</v>
      </c>
      <c r="Q64" s="101" t="str">
        <f t="shared" ref="Q64:S66" si="21">L64</f>
        <v>Y</v>
      </c>
      <c r="R64" s="93" t="str">
        <f t="shared" si="21"/>
        <v>CSEW1P</v>
      </c>
      <c r="S64" s="93" t="str">
        <f t="shared" si="21"/>
        <v>Sat/Sun 1st Shft + AM/EVE Shft</v>
      </c>
      <c r="T64" s="93">
        <f t="shared" ref="T64:T66" si="22">ROUND(O64,2)</f>
        <v>3.41</v>
      </c>
    </row>
    <row r="65" spans="12:20" x14ac:dyDescent="0.4">
      <c r="L65" s="80" t="s">
        <v>206</v>
      </c>
      <c r="M65" s="80" t="s">
        <v>133</v>
      </c>
      <c r="N65" s="81" t="s">
        <v>134</v>
      </c>
      <c r="O65" s="84">
        <f>IF(L65="Y",VLOOKUP(M65,October2023Rates,3,0)*IncrPerc2024,VLOOKUP(M65,October2023Rates,3,0))</f>
        <v>3.922193249999999</v>
      </c>
      <c r="Q65" s="101" t="str">
        <f t="shared" si="21"/>
        <v>Y</v>
      </c>
      <c r="R65" s="93" t="str">
        <f t="shared" si="21"/>
        <v>CSEW2P</v>
      </c>
      <c r="S65" s="93" t="str">
        <f t="shared" si="21"/>
        <v>Sat/Sun 2nd Shft + AM/EVE Shft</v>
      </c>
      <c r="T65" s="93">
        <f t="shared" si="22"/>
        <v>3.92</v>
      </c>
    </row>
    <row r="66" spans="12:20" x14ac:dyDescent="0.4">
      <c r="L66" s="80" t="s">
        <v>206</v>
      </c>
      <c r="M66" s="80" t="s">
        <v>135</v>
      </c>
      <c r="N66" s="81" t="s">
        <v>136</v>
      </c>
      <c r="O66" s="84">
        <f>IF(L66="Y",VLOOKUP(M66,October2023Rates,3,0)*IncrPerc2024,VLOOKUP(M66,October2023Rates,3,0))</f>
        <v>4.2115353749999995</v>
      </c>
      <c r="Q66" s="101" t="str">
        <f t="shared" si="21"/>
        <v>Y</v>
      </c>
      <c r="R66" s="93" t="str">
        <f t="shared" si="21"/>
        <v>CSEW3P</v>
      </c>
      <c r="S66" s="93" t="str">
        <f t="shared" si="21"/>
        <v>Sat/Sun 3rd Shft + AM/EVE Shft</v>
      </c>
      <c r="T66" s="93">
        <f t="shared" si="22"/>
        <v>4.21</v>
      </c>
    </row>
  </sheetData>
  <mergeCells count="1">
    <mergeCell ref="A3:C3"/>
  </mergeCells>
  <pageMargins left="0.2" right="0.2" top="0.75" bottom="0.75" header="0.3" footer="0.3"/>
  <pageSetup scale="92" fitToHeight="0" orientation="landscape" r:id="rId1"/>
  <headerFooter alignWithMargins="0">
    <oddFooter>&amp;L&amp;8Last Updated:  &amp;D&amp;R&amp;8Page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8EE8B-0CF3-4345-A229-5A063A7A9A57}">
  <sheetPr>
    <pageSetUpPr fitToPage="1"/>
  </sheetPr>
  <dimension ref="A1:T66"/>
  <sheetViews>
    <sheetView showGridLines="0" topLeftCell="A37" workbookViewId="0">
      <selection activeCell="E51" sqref="E51"/>
    </sheetView>
  </sheetViews>
  <sheetFormatPr defaultColWidth="9.1328125" defaultRowHeight="13.15" x14ac:dyDescent="0.4"/>
  <cols>
    <col min="1" max="1" width="9.1328125" style="78"/>
    <col min="2" max="2" width="7" style="78" customWidth="1"/>
    <col min="3" max="3" width="12.59765625" style="78" customWidth="1"/>
    <col min="4" max="4" width="57.73046875" style="78" bestFit="1" customWidth="1"/>
    <col min="5" max="5" width="6.1328125" style="78" customWidth="1"/>
    <col min="6" max="6" width="7.1328125" style="78" customWidth="1"/>
    <col min="7" max="7" width="8.265625" style="78" customWidth="1"/>
    <col min="8" max="8" width="7.3984375" style="78" bestFit="1" customWidth="1"/>
    <col min="9" max="9" width="22.1328125" style="78" customWidth="1"/>
    <col min="10" max="10" width="11.59765625" style="78" customWidth="1"/>
    <col min="11" max="11" width="7.265625" style="78" customWidth="1"/>
    <col min="12" max="12" width="16.265625" style="80" customWidth="1"/>
    <col min="13" max="13" width="7.3984375" style="80" customWidth="1"/>
    <col min="14" max="14" width="25.86328125" style="81" customWidth="1"/>
    <col min="15" max="15" width="7.73046875" style="84" customWidth="1"/>
    <col min="16" max="16" width="6.1328125" style="78" customWidth="1"/>
    <col min="17" max="17" width="11" style="83" customWidth="1"/>
    <col min="18" max="18" width="7.3984375" style="83" customWidth="1"/>
    <col min="19" max="19" width="25.86328125" style="83" customWidth="1"/>
    <col min="20" max="20" width="7.3984375" style="83" customWidth="1"/>
    <col min="21" max="23" width="9.1328125" style="78" customWidth="1"/>
    <col min="24" max="16384" width="9.1328125" style="78"/>
  </cols>
  <sheetData>
    <row r="1" spans="1:20" ht="15.75" x14ac:dyDescent="0.5">
      <c r="A1" s="147" t="s">
        <v>191</v>
      </c>
    </row>
    <row r="2" spans="1:20" ht="15.75" x14ac:dyDescent="0.5">
      <c r="A2" s="77" t="s">
        <v>192</v>
      </c>
      <c r="I2" s="79"/>
      <c r="N2" s="81" t="s">
        <v>232</v>
      </c>
      <c r="O2" s="82">
        <v>1.0449999999999999</v>
      </c>
    </row>
    <row r="3" spans="1:20" x14ac:dyDescent="0.4">
      <c r="A3" s="165" t="s">
        <v>233</v>
      </c>
      <c r="B3" s="165"/>
      <c r="C3" s="165"/>
      <c r="H3" s="79"/>
    </row>
    <row r="4" spans="1:20" x14ac:dyDescent="0.4">
      <c r="A4" s="85" t="s">
        <v>234</v>
      </c>
      <c r="B4" s="150"/>
      <c r="C4" s="150"/>
      <c r="H4" s="79"/>
    </row>
    <row r="5" spans="1:20" x14ac:dyDescent="0.4">
      <c r="A5" s="96" t="s">
        <v>227</v>
      </c>
      <c r="B5" s="150"/>
      <c r="C5" s="150"/>
      <c r="H5" s="79"/>
    </row>
    <row r="6" spans="1:20" x14ac:dyDescent="0.4">
      <c r="H6" s="79"/>
      <c r="I6" s="86"/>
      <c r="J6" s="86"/>
      <c r="L6" s="80" t="s">
        <v>197</v>
      </c>
      <c r="Q6" s="83" t="s">
        <v>198</v>
      </c>
    </row>
    <row r="7" spans="1:20" ht="26.25" x14ac:dyDescent="0.4">
      <c r="A7" s="87" t="s">
        <v>199</v>
      </c>
      <c r="B7" s="87" t="s">
        <v>200</v>
      </c>
      <c r="C7" s="87" t="s">
        <v>201</v>
      </c>
      <c r="D7" s="88" t="s">
        <v>5</v>
      </c>
      <c r="E7" s="89" t="s">
        <v>202</v>
      </c>
      <c r="F7" s="87" t="s">
        <v>203</v>
      </c>
      <c r="G7" s="87" t="s">
        <v>204</v>
      </c>
      <c r="H7" s="89" t="s">
        <v>117</v>
      </c>
      <c r="L7" s="80" t="s">
        <v>205</v>
      </c>
      <c r="M7" s="90" t="s">
        <v>140</v>
      </c>
      <c r="N7" s="81" t="s">
        <v>141</v>
      </c>
      <c r="O7" s="84" t="s">
        <v>142</v>
      </c>
      <c r="Q7" s="83" t="s">
        <v>205</v>
      </c>
      <c r="R7" s="91" t="s">
        <v>140</v>
      </c>
      <c r="S7" s="92" t="s">
        <v>141</v>
      </c>
      <c r="T7" s="93" t="s">
        <v>142</v>
      </c>
    </row>
    <row r="8" spans="1:20" x14ac:dyDescent="0.4">
      <c r="A8" s="94" t="s">
        <v>118</v>
      </c>
      <c r="B8" s="95" t="s">
        <v>228</v>
      </c>
      <c r="C8" s="94" t="s">
        <v>229</v>
      </c>
      <c r="D8" s="96" t="s">
        <v>230</v>
      </c>
      <c r="E8" s="94">
        <v>168</v>
      </c>
      <c r="F8" s="94">
        <v>3</v>
      </c>
      <c r="G8" s="94" t="s">
        <v>13</v>
      </c>
      <c r="H8" s="97">
        <f>O8</f>
        <v>32.837000000000003</v>
      </c>
      <c r="I8" s="98"/>
      <c r="L8" s="80" t="s">
        <v>206</v>
      </c>
      <c r="M8" s="99" t="str">
        <f>C8</f>
        <v>59476C</v>
      </c>
      <c r="N8" s="81" t="s">
        <v>228</v>
      </c>
      <c r="O8" s="100">
        <v>32.837000000000003</v>
      </c>
      <c r="Q8" s="101" t="str">
        <f t="shared" ref="Q8:S9" si="0">L8</f>
        <v>Y</v>
      </c>
      <c r="R8" s="101" t="str">
        <f t="shared" si="0"/>
        <v>59476C</v>
      </c>
      <c r="S8" s="92" t="str">
        <f t="shared" si="0"/>
        <v>11</v>
      </c>
      <c r="T8" s="102">
        <f>ROUND(O8,3)</f>
        <v>32.837000000000003</v>
      </c>
    </row>
    <row r="9" spans="1:20" x14ac:dyDescent="0.4">
      <c r="A9" s="94" t="s">
        <v>118</v>
      </c>
      <c r="B9" s="95" t="s">
        <v>119</v>
      </c>
      <c r="C9" s="94" t="s">
        <v>11</v>
      </c>
      <c r="D9" s="96" t="s">
        <v>177</v>
      </c>
      <c r="E9" s="94">
        <v>280</v>
      </c>
      <c r="F9" s="94">
        <v>6</v>
      </c>
      <c r="G9" s="94" t="s">
        <v>13</v>
      </c>
      <c r="H9" s="97">
        <f>O9</f>
        <v>37.236485000000002</v>
      </c>
      <c r="I9" s="98"/>
      <c r="L9" s="80" t="s">
        <v>206</v>
      </c>
      <c r="M9" s="99" t="str">
        <f t="shared" ref="M9:M14" si="1">C9</f>
        <v>07300C</v>
      </c>
      <c r="N9" s="81" t="s">
        <v>119</v>
      </c>
      <c r="O9" s="100">
        <f t="shared" ref="O9:O14" si="2">(IF(L9="Y",VLOOKUP(M9,DataJan2024,3,0)*IncrPercJan2024,VLOOKUP(M9,DataJan2024,3,0)))</f>
        <v>37.236485000000002</v>
      </c>
      <c r="Q9" s="101" t="str">
        <f t="shared" si="0"/>
        <v>Y</v>
      </c>
      <c r="R9" s="101" t="str">
        <f t="shared" si="0"/>
        <v>07300C</v>
      </c>
      <c r="S9" s="92" t="str">
        <f t="shared" si="0"/>
        <v>03</v>
      </c>
      <c r="T9" s="102">
        <f>ROUND(O9,3)</f>
        <v>37.235999999999997</v>
      </c>
    </row>
    <row r="10" spans="1:20" x14ac:dyDescent="0.4">
      <c r="A10" s="94" t="s">
        <v>118</v>
      </c>
      <c r="B10" s="95" t="s">
        <v>121</v>
      </c>
      <c r="C10" s="94" t="s">
        <v>144</v>
      </c>
      <c r="D10" s="96" t="s">
        <v>178</v>
      </c>
      <c r="E10" s="94">
        <v>335</v>
      </c>
      <c r="F10" s="94">
        <v>7</v>
      </c>
      <c r="G10" s="94" t="s">
        <v>13</v>
      </c>
      <c r="H10" s="97">
        <f t="shared" ref="H10:H14" si="3">O10</f>
        <v>40.266984999999998</v>
      </c>
      <c r="I10" s="98"/>
      <c r="L10" s="80" t="s">
        <v>206</v>
      </c>
      <c r="M10" s="99" t="str">
        <f t="shared" si="1"/>
        <v>59400C</v>
      </c>
      <c r="N10" s="81" t="s">
        <v>121</v>
      </c>
      <c r="O10" s="100">
        <f t="shared" si="2"/>
        <v>40.266984999999998</v>
      </c>
      <c r="Q10" s="101" t="str">
        <f t="shared" ref="Q10:S14" si="4">L10</f>
        <v>Y</v>
      </c>
      <c r="R10" s="101" t="str">
        <f t="shared" si="4"/>
        <v>59400C</v>
      </c>
      <c r="S10" s="92" t="str">
        <f t="shared" si="4"/>
        <v>08</v>
      </c>
      <c r="T10" s="102">
        <f t="shared" ref="T10:T14" si="5">ROUND(O10,3)</f>
        <v>40.267000000000003</v>
      </c>
    </row>
    <row r="11" spans="1:20" x14ac:dyDescent="0.4">
      <c r="A11" s="94" t="s">
        <v>118</v>
      </c>
      <c r="B11" s="95" t="s">
        <v>120</v>
      </c>
      <c r="C11" s="94" t="s">
        <v>18</v>
      </c>
      <c r="D11" s="96" t="s">
        <v>19</v>
      </c>
      <c r="E11" s="94">
        <v>193</v>
      </c>
      <c r="F11" s="94">
        <v>4</v>
      </c>
      <c r="G11" s="94" t="s">
        <v>13</v>
      </c>
      <c r="H11" s="97">
        <f t="shared" si="3"/>
        <v>35.680479999999996</v>
      </c>
      <c r="I11" s="98"/>
      <c r="L11" s="80" t="s">
        <v>206</v>
      </c>
      <c r="M11" s="99" t="str">
        <f>C11</f>
        <v>09330C</v>
      </c>
      <c r="N11" s="81" t="s">
        <v>120</v>
      </c>
      <c r="O11" s="100">
        <f t="shared" si="2"/>
        <v>35.680479999999996</v>
      </c>
      <c r="Q11" s="101" t="str">
        <f t="shared" si="4"/>
        <v>Y</v>
      </c>
      <c r="R11" s="101" t="str">
        <f t="shared" si="4"/>
        <v>09330C</v>
      </c>
      <c r="S11" s="92" t="str">
        <f t="shared" si="4"/>
        <v>02</v>
      </c>
      <c r="T11" s="102">
        <f t="shared" si="5"/>
        <v>35.68</v>
      </c>
    </row>
    <row r="12" spans="1:20" x14ac:dyDescent="0.4">
      <c r="A12" s="94" t="s">
        <v>118</v>
      </c>
      <c r="B12" s="95" t="s">
        <v>119</v>
      </c>
      <c r="C12" s="94" t="s">
        <v>20</v>
      </c>
      <c r="D12" s="96" t="s">
        <v>21</v>
      </c>
      <c r="E12" s="94">
        <v>273</v>
      </c>
      <c r="F12" s="94">
        <v>6</v>
      </c>
      <c r="G12" s="94" t="s">
        <v>13</v>
      </c>
      <c r="H12" s="97">
        <f t="shared" si="3"/>
        <v>37.236485000000002</v>
      </c>
      <c r="I12" s="98"/>
      <c r="L12" s="80" t="s">
        <v>206</v>
      </c>
      <c r="M12" s="99" t="str">
        <f t="shared" si="1"/>
        <v>09340C</v>
      </c>
      <c r="N12" s="81" t="s">
        <v>119</v>
      </c>
      <c r="O12" s="100">
        <f t="shared" si="2"/>
        <v>37.236485000000002</v>
      </c>
      <c r="Q12" s="101" t="str">
        <f t="shared" si="4"/>
        <v>Y</v>
      </c>
      <c r="R12" s="101" t="str">
        <f t="shared" si="4"/>
        <v>09340C</v>
      </c>
      <c r="S12" s="92" t="str">
        <f t="shared" si="4"/>
        <v>03</v>
      </c>
      <c r="T12" s="102">
        <f t="shared" si="5"/>
        <v>37.235999999999997</v>
      </c>
    </row>
    <row r="13" spans="1:20" x14ac:dyDescent="0.4">
      <c r="A13" s="94" t="s">
        <v>118</v>
      </c>
      <c r="B13" s="95" t="s">
        <v>121</v>
      </c>
      <c r="C13" s="94" t="s">
        <v>72</v>
      </c>
      <c r="D13" s="96" t="s">
        <v>98</v>
      </c>
      <c r="E13" s="94">
        <v>335</v>
      </c>
      <c r="F13" s="94">
        <v>7</v>
      </c>
      <c r="G13" s="94" t="s">
        <v>13</v>
      </c>
      <c r="H13" s="97">
        <f t="shared" si="3"/>
        <v>40.267487280089455</v>
      </c>
      <c r="I13" s="98"/>
      <c r="L13" s="80" t="s">
        <v>206</v>
      </c>
      <c r="M13" s="99" t="str">
        <f t="shared" si="1"/>
        <v>09345C</v>
      </c>
      <c r="N13" s="81" t="s">
        <v>121</v>
      </c>
      <c r="O13" s="100">
        <f t="shared" si="2"/>
        <v>40.267487280089455</v>
      </c>
      <c r="Q13" s="101" t="str">
        <f t="shared" si="4"/>
        <v>Y</v>
      </c>
      <c r="R13" s="101" t="str">
        <f t="shared" si="4"/>
        <v>09345C</v>
      </c>
      <c r="S13" s="92" t="str">
        <f t="shared" si="4"/>
        <v>08</v>
      </c>
      <c r="T13" s="102">
        <f t="shared" si="5"/>
        <v>40.267000000000003</v>
      </c>
    </row>
    <row r="14" spans="1:20" x14ac:dyDescent="0.4">
      <c r="A14" s="94" t="s">
        <v>118</v>
      </c>
      <c r="B14" s="95" t="s">
        <v>231</v>
      </c>
      <c r="C14" s="94" t="s">
        <v>74</v>
      </c>
      <c r="D14" s="96" t="s">
        <v>99</v>
      </c>
      <c r="E14" s="94">
        <v>288</v>
      </c>
      <c r="F14" s="94">
        <v>6</v>
      </c>
      <c r="G14" s="94" t="s">
        <v>13</v>
      </c>
      <c r="H14" s="97">
        <f t="shared" si="3"/>
        <v>38.300294999999998</v>
      </c>
      <c r="I14" s="98"/>
      <c r="L14" s="80" t="s">
        <v>206</v>
      </c>
      <c r="M14" s="99" t="str">
        <f t="shared" si="1"/>
        <v>10859C</v>
      </c>
      <c r="N14" s="81" t="s">
        <v>231</v>
      </c>
      <c r="O14" s="100">
        <f t="shared" si="2"/>
        <v>38.300294999999998</v>
      </c>
      <c r="Q14" s="101" t="str">
        <f t="shared" si="4"/>
        <v>Y</v>
      </c>
      <c r="R14" s="101" t="str">
        <f t="shared" si="4"/>
        <v>10859C</v>
      </c>
      <c r="S14" s="92" t="str">
        <f t="shared" si="4"/>
        <v>12</v>
      </c>
      <c r="T14" s="102">
        <f t="shared" si="5"/>
        <v>38.299999999999997</v>
      </c>
    </row>
    <row r="15" spans="1:20" x14ac:dyDescent="0.4">
      <c r="A15" s="103"/>
      <c r="B15" s="103"/>
      <c r="C15" s="86"/>
      <c r="D15" s="86"/>
      <c r="E15" s="103"/>
      <c r="F15" s="103"/>
      <c r="G15" s="103"/>
      <c r="H15" s="103"/>
      <c r="I15" s="103"/>
      <c r="J15" s="103"/>
    </row>
    <row r="16" spans="1:20" x14ac:dyDescent="0.4">
      <c r="A16" s="137" t="s">
        <v>207</v>
      </c>
      <c r="B16" s="79"/>
      <c r="C16" s="94"/>
      <c r="D16" s="104"/>
      <c r="E16" s="105"/>
      <c r="F16" s="106"/>
    </row>
    <row r="17" spans="1:20" x14ac:dyDescent="0.4">
      <c r="A17" s="138" t="s">
        <v>35</v>
      </c>
      <c r="H17" s="79"/>
      <c r="P17" s="107"/>
    </row>
    <row r="18" spans="1:20" x14ac:dyDescent="0.4">
      <c r="A18" s="139" t="str">
        <f>"Provided that an additional "&amp;TEXT(O18,"$0.00")&amp;" per hour shall be paid, for all hours worked to employees whose regularly scheduled shift begins"</f>
        <v>Provided that an additional $1.93 per hour shall be paid, for all hours worked to employees whose regularly scheduled shift begins</v>
      </c>
      <c r="H18" s="79"/>
      <c r="L18" s="80" t="s">
        <v>206</v>
      </c>
      <c r="M18" s="80" t="s">
        <v>147</v>
      </c>
      <c r="N18" s="81" t="s">
        <v>148</v>
      </c>
      <c r="O18" s="100">
        <f>(IF(L18="Y",VLOOKUP(M18,DataJan2024,3,0)*IncrPercJan2024,VLOOKUP(M18,DataJan2024,3,0)))</f>
        <v>1.9284009648749993</v>
      </c>
      <c r="P18" s="107"/>
      <c r="Q18" s="101" t="str">
        <f t="shared" ref="Q18:S19" si="6">L18</f>
        <v>Y</v>
      </c>
      <c r="R18" s="93" t="str">
        <f t="shared" si="6"/>
        <v>CSEAM1</v>
      </c>
      <c r="S18" s="93" t="str">
        <f t="shared" si="6"/>
        <v>TL-Morning Shift Premium CSE</v>
      </c>
      <c r="T18" s="93">
        <f>ROUND(O18,2)</f>
        <v>1.93</v>
      </c>
    </row>
    <row r="19" spans="1:20" x14ac:dyDescent="0.4">
      <c r="A19" s="139" t="s">
        <v>208</v>
      </c>
      <c r="H19" s="79"/>
      <c r="L19" s="80" t="s">
        <v>206</v>
      </c>
      <c r="M19" s="80" t="s">
        <v>149</v>
      </c>
      <c r="N19" s="81" t="s">
        <v>150</v>
      </c>
      <c r="O19" s="100">
        <f>(IF(L19="Y",VLOOKUP(M19,DataJan2024,3,0)*IncrPercJan2024,VLOOKUP(M19,DataJan2024,3,0)))</f>
        <v>1.9284009648749993</v>
      </c>
      <c r="P19" s="107"/>
      <c r="Q19" s="101" t="str">
        <f t="shared" si="6"/>
        <v>Y</v>
      </c>
      <c r="R19" s="93" t="str">
        <f t="shared" si="6"/>
        <v>CSEEVE</v>
      </c>
      <c r="S19" s="93" t="str">
        <f t="shared" si="6"/>
        <v>TL-Evening Shift Premium-CSE</v>
      </c>
      <c r="T19" s="93">
        <f>ROUND(O19,2)</f>
        <v>1.93</v>
      </c>
    </row>
    <row r="20" spans="1:20" x14ac:dyDescent="0.4">
      <c r="A20" s="96"/>
      <c r="H20" s="79"/>
      <c r="P20" s="107"/>
      <c r="R20" s="93"/>
      <c r="S20" s="93"/>
      <c r="T20" s="93"/>
    </row>
    <row r="21" spans="1:20" x14ac:dyDescent="0.4">
      <c r="A21" s="150" t="s">
        <v>38</v>
      </c>
      <c r="H21" s="79"/>
      <c r="P21" s="107"/>
      <c r="R21" s="93"/>
      <c r="S21" s="93"/>
      <c r="T21" s="93"/>
    </row>
    <row r="22" spans="1:20" x14ac:dyDescent="0.4">
      <c r="A22" s="139" t="s">
        <v>180</v>
      </c>
      <c r="H22" s="79"/>
      <c r="P22" s="107"/>
      <c r="R22" s="93"/>
      <c r="S22" s="93"/>
      <c r="T22" s="93"/>
    </row>
    <row r="23" spans="1:20" x14ac:dyDescent="0.4">
      <c r="A23" s="140" t="s">
        <v>81</v>
      </c>
      <c r="C23" s="96" t="str">
        <f>"For all hours worked on shifts that begin between 6:00 a.m. and 1:59 p.m., employees shall be paid a premium of "&amp;TEXT(O23,"$0.00")&amp;" per hour."</f>
        <v>For all hours worked on shifts that begin between 6:00 a.m. and 1:59 p.m., employees shall be paid a premium of $1.63 per hour.</v>
      </c>
      <c r="H23" s="79"/>
      <c r="L23" s="80" t="s">
        <v>206</v>
      </c>
      <c r="M23" s="80" t="s">
        <v>151</v>
      </c>
      <c r="N23" s="81" t="s">
        <v>152</v>
      </c>
      <c r="O23" s="100">
        <f>(IF(L23="Y",VLOOKUP(M23,DataJan2024,3,0)*IncrPercJan2024,VLOOKUP(M23,DataJan2024,3,0)))</f>
        <v>1.628056819062158</v>
      </c>
      <c r="P23" s="107"/>
      <c r="Q23" s="101" t="str">
        <f t="shared" ref="Q23:S25" si="7">L23</f>
        <v>Y</v>
      </c>
      <c r="R23" s="93" t="str">
        <f t="shared" si="7"/>
        <v>CSEWK1</v>
      </c>
      <c r="S23" s="93" t="str">
        <f t="shared" si="7"/>
        <v>TL-Sat/Sun1st Shift CSE</v>
      </c>
      <c r="T23" s="93">
        <f t="shared" ref="T23:T25" si="8">ROUND(O23,2)</f>
        <v>1.63</v>
      </c>
    </row>
    <row r="24" spans="1:20" x14ac:dyDescent="0.4">
      <c r="A24" s="140" t="s">
        <v>82</v>
      </c>
      <c r="C24" s="96" t="str">
        <f>"For all hours worked on shifts that begin between 2:00 p.m. and 8:59 p.m., employees shall be paid a premium of "&amp;TEXT(O24,"$0.00")&amp;" per hour."</f>
        <v>For all hours worked on shifts that begin between 2:00 p.m. and 8:59 p.m., employees shall be paid a premium of $2.17 per hour.</v>
      </c>
      <c r="H24" s="79"/>
      <c r="L24" s="80" t="s">
        <v>206</v>
      </c>
      <c r="M24" s="80" t="s">
        <v>153</v>
      </c>
      <c r="N24" s="81" t="s">
        <v>154</v>
      </c>
      <c r="O24" s="100">
        <f>(IF(L24="Y",VLOOKUP(M24,DataJan2024,3,0)*IncrPercJan2024,VLOOKUP(M24,DataJan2024,3,0)))</f>
        <v>2.17074242541621</v>
      </c>
      <c r="P24" s="107"/>
      <c r="Q24" s="101" t="str">
        <f t="shared" si="7"/>
        <v>Y</v>
      </c>
      <c r="R24" s="93" t="str">
        <f t="shared" si="7"/>
        <v>CSEWK2</v>
      </c>
      <c r="S24" s="93" t="str">
        <f t="shared" si="7"/>
        <v>TL-Sat/Sun 2ndt Shift CSE</v>
      </c>
      <c r="T24" s="93">
        <f t="shared" si="8"/>
        <v>2.17</v>
      </c>
    </row>
    <row r="25" spans="1:20" x14ac:dyDescent="0.4">
      <c r="A25" s="140" t="s">
        <v>209</v>
      </c>
      <c r="C25" s="96" t="str">
        <f>"For all hours worked on shifts that begin between 9:00 p.m. and 5:59 a.m., employees shall be paid a premium of "&amp;TEXT(O25,"$0.00")&amp;" per hour."</f>
        <v>For all hours worked on shifts that begin between 9:00 p.m. and 5:59 a.m., employees shall be paid a premium of $2.47 per hour.</v>
      </c>
      <c r="H25" s="79"/>
      <c r="L25" s="80" t="s">
        <v>206</v>
      </c>
      <c r="M25" s="80" t="s">
        <v>155</v>
      </c>
      <c r="N25" s="81" t="s">
        <v>156</v>
      </c>
      <c r="O25" s="100">
        <f>(IF(L25="Y",VLOOKUP(M25,DataJan2024,3,0)*IncrPercJan2024,VLOOKUP(M25,DataJan2024,3,0)))</f>
        <v>2.4722344289462397</v>
      </c>
      <c r="P25" s="107"/>
      <c r="Q25" s="101" t="str">
        <f t="shared" si="7"/>
        <v>Y</v>
      </c>
      <c r="R25" s="93" t="str">
        <f t="shared" si="7"/>
        <v>CSEWK3</v>
      </c>
      <c r="S25" s="93" t="str">
        <f t="shared" si="7"/>
        <v>TL-Sat/Sun 3rd Shift CSE</v>
      </c>
      <c r="T25" s="93">
        <f t="shared" si="8"/>
        <v>2.4700000000000002</v>
      </c>
    </row>
    <row r="26" spans="1:20" x14ac:dyDescent="0.4">
      <c r="A26" s="139" t="s">
        <v>84</v>
      </c>
      <c r="C26" s="109"/>
      <c r="H26" s="79"/>
      <c r="P26" s="107"/>
      <c r="R26" s="93"/>
      <c r="S26" s="93"/>
      <c r="T26" s="93"/>
    </row>
    <row r="27" spans="1:20" x14ac:dyDescent="0.4">
      <c r="A27" s="96"/>
      <c r="C27" s="109"/>
      <c r="H27" s="79"/>
      <c r="P27" s="107"/>
      <c r="R27" s="93"/>
      <c r="S27" s="93"/>
      <c r="T27" s="93"/>
    </row>
    <row r="28" spans="1:20" x14ac:dyDescent="0.4">
      <c r="A28" s="110" t="s">
        <v>85</v>
      </c>
      <c r="C28" s="109"/>
      <c r="H28" s="79"/>
      <c r="P28" s="107"/>
      <c r="R28" s="93"/>
      <c r="S28" s="93"/>
      <c r="T28" s="93"/>
    </row>
    <row r="29" spans="1:20" ht="14.25" x14ac:dyDescent="0.45">
      <c r="A29" s="108" t="s">
        <v>210</v>
      </c>
      <c r="H29" s="79"/>
      <c r="K29" s="111"/>
      <c r="L29" s="112"/>
      <c r="P29" s="107"/>
      <c r="R29" s="93"/>
      <c r="S29" s="93"/>
      <c r="T29" s="93"/>
    </row>
    <row r="30" spans="1:20" x14ac:dyDescent="0.4">
      <c r="A30" s="108" t="str">
        <f>"Maintenance Engineer I's &amp; II's, who are certified for EPA Universal CFC Refrigeration shall be paid "&amp;TEXT(O30,"$0.00")&amp;" per hour for all hours paid."</f>
        <v>Maintenance Engineer I's &amp; II's, who are certified for EPA Universal CFC Refrigeration shall be paid $1.00 per hour for all hours paid.</v>
      </c>
      <c r="B30" s="86"/>
      <c r="D30" s="86"/>
      <c r="G30" s="113"/>
      <c r="L30" s="80" t="s">
        <v>10</v>
      </c>
      <c r="M30" s="80" t="s">
        <v>157</v>
      </c>
      <c r="N30" s="81" t="s">
        <v>158</v>
      </c>
      <c r="O30" s="100">
        <f>(IF(L30="Y",VLOOKUP(M30,DataJan2024,3,0)*IncrPercJan2024,VLOOKUP(M30,DataJan2024,3,0)))</f>
        <v>1</v>
      </c>
      <c r="Q30" s="101" t="str">
        <f t="shared" ref="Q30:S30" si="9">L30</f>
        <v>N</v>
      </c>
      <c r="R30" s="93" t="str">
        <f t="shared" si="9"/>
        <v>CSEEPA</v>
      </c>
      <c r="S30" s="93" t="str">
        <f t="shared" si="9"/>
        <v>EPA Univ CFC Refrigeration</v>
      </c>
      <c r="T30" s="93">
        <f>ROUND(O30,2)</f>
        <v>1</v>
      </c>
    </row>
    <row r="31" spans="1:20" x14ac:dyDescent="0.4">
      <c r="A31" s="108"/>
      <c r="B31" s="86"/>
      <c r="D31" s="86"/>
      <c r="G31" s="113"/>
      <c r="N31" s="114"/>
      <c r="O31" s="115"/>
      <c r="R31" s="93"/>
      <c r="S31" s="93"/>
      <c r="T31" s="93"/>
    </row>
    <row r="32" spans="1:20" x14ac:dyDescent="0.4">
      <c r="A32" s="108" t="s">
        <v>211</v>
      </c>
      <c r="H32" s="79"/>
      <c r="K32" s="86"/>
      <c r="L32" s="116"/>
      <c r="R32" s="93"/>
      <c r="S32" s="93"/>
      <c r="T32" s="93"/>
    </row>
    <row r="33" spans="1:20" x14ac:dyDescent="0.4">
      <c r="A33" s="108" t="s">
        <v>212</v>
      </c>
      <c r="R33" s="93"/>
      <c r="S33" s="93"/>
      <c r="T33" s="93"/>
    </row>
    <row r="34" spans="1:20" x14ac:dyDescent="0.4">
      <c r="A34" s="117" t="str">
        <f>TEXT(O34,"$0.00")&amp;" per hour for all hours paid."</f>
        <v>$1.00 per hour for all hours paid.</v>
      </c>
      <c r="H34" s="79"/>
      <c r="L34" s="80" t="s">
        <v>10</v>
      </c>
      <c r="M34" s="80" t="s">
        <v>159</v>
      </c>
      <c r="N34" s="81" t="s">
        <v>160</v>
      </c>
      <c r="O34" s="100">
        <f>(IF(L34="Y",VLOOKUP(M34,DataJan2024,3,0)*IncrPercJan2024,VLOOKUP(M34,DataJan2024,3,0)))</f>
        <v>1</v>
      </c>
      <c r="Q34" s="101" t="str">
        <f t="shared" ref="Q34:S34" si="10">L34</f>
        <v>N</v>
      </c>
      <c r="R34" s="93" t="str">
        <f t="shared" si="10"/>
        <v>CSELME</v>
      </c>
      <c r="S34" s="93" t="str">
        <f t="shared" si="10"/>
        <v>Pow ltd lic/Lic Maint Elect</v>
      </c>
      <c r="T34" s="93">
        <f>ROUND(O34,2)</f>
        <v>1</v>
      </c>
    </row>
    <row r="35" spans="1:20" x14ac:dyDescent="0.4">
      <c r="A35" s="118"/>
      <c r="H35" s="79"/>
      <c r="R35" s="93"/>
      <c r="S35" s="93"/>
      <c r="T35" s="93"/>
    </row>
    <row r="36" spans="1:20" ht="12.75" customHeight="1" x14ac:dyDescent="0.4">
      <c r="A36" s="108" t="s">
        <v>213</v>
      </c>
      <c r="H36" s="79"/>
      <c r="K36" s="86"/>
      <c r="L36" s="116"/>
      <c r="R36" s="93"/>
      <c r="S36" s="93"/>
      <c r="T36" s="93"/>
    </row>
    <row r="37" spans="1:20" ht="12.75" customHeight="1" x14ac:dyDescent="0.4">
      <c r="A37" s="108" t="str">
        <f>"as 'Gas Fitters' at the discretion of management. Designated Gas Fitters shall be paid a premium of "&amp;TEXT(O37,"$0.00")&amp;" per hour for all the hours performing work that requires the certificate."</f>
        <v>as 'Gas Fitters' at the discretion of management. Designated Gas Fitters shall be paid a premium of $1.00 per hour for all the hours performing work that requires the certificate.</v>
      </c>
      <c r="H37" s="79"/>
      <c r="K37" s="86"/>
      <c r="L37" s="80" t="s">
        <v>10</v>
      </c>
      <c r="M37" s="80" t="s">
        <v>161</v>
      </c>
      <c r="N37" s="81" t="s">
        <v>162</v>
      </c>
      <c r="O37" s="100">
        <f>(IF(L37="Y",VLOOKUP(M37,DataJan2024,3,0)*IncrPercJan2024,VLOOKUP(M37,DataJan2024,3,0)))</f>
        <v>1</v>
      </c>
      <c r="Q37" s="101" t="str">
        <f t="shared" ref="Q37:S37" si="11">L37</f>
        <v>N</v>
      </c>
      <c r="R37" s="93" t="str">
        <f t="shared" si="11"/>
        <v>CSEGAS</v>
      </c>
      <c r="S37" s="93" t="str">
        <f t="shared" si="11"/>
        <v>TL-Citys Gas Fitting-CSE</v>
      </c>
      <c r="T37" s="93">
        <f>ROUND(O37,2)</f>
        <v>1</v>
      </c>
    </row>
    <row r="38" spans="1:20" ht="12.75" customHeight="1" x14ac:dyDescent="0.4">
      <c r="A38" s="108"/>
      <c r="G38" s="113"/>
      <c r="R38" s="93"/>
      <c r="S38" s="93"/>
      <c r="T38" s="93"/>
    </row>
    <row r="39" spans="1:20" ht="12.75" customHeight="1" x14ac:dyDescent="0.4">
      <c r="A39" s="146" t="s">
        <v>214</v>
      </c>
      <c r="G39" s="113"/>
      <c r="R39" s="93"/>
      <c r="S39" s="93"/>
      <c r="T39" s="93"/>
    </row>
    <row r="40" spans="1:20" ht="12.75" customHeight="1" x14ac:dyDescent="0.4">
      <c r="A40" s="146" t="str">
        <f>"Certification shall be paid "&amp;TEXT(O40,"$0.00")&amp;" per hour for all hours paid."</f>
        <v>Certification shall be paid $0.20 per hour for all hours paid.</v>
      </c>
      <c r="G40" s="113"/>
      <c r="L40" s="80" t="s">
        <v>10</v>
      </c>
      <c r="M40" s="80" t="s">
        <v>163</v>
      </c>
      <c r="N40" s="81" t="s">
        <v>164</v>
      </c>
      <c r="O40" s="100">
        <f>(IF(L40="Y",VLOOKUP(M40,DataJan2024,3,0)*IncrPercJan2024,VLOOKUP(M40,DataJan2024,3,0)))</f>
        <v>0.2</v>
      </c>
      <c r="Q40" s="101" t="str">
        <f t="shared" ref="Q40:S40" si="12">L40</f>
        <v>N</v>
      </c>
      <c r="R40" s="93" t="str">
        <f t="shared" si="12"/>
        <v>CSEABC</v>
      </c>
      <c r="S40" s="93" t="str">
        <f t="shared" si="12"/>
        <v>ABC Plant Mntc Tech Class 2</v>
      </c>
      <c r="T40" s="93">
        <f>ROUND(O40,2)</f>
        <v>0.2</v>
      </c>
    </row>
    <row r="41" spans="1:20" ht="12.75" customHeight="1" x14ac:dyDescent="0.4">
      <c r="A41" s="96"/>
      <c r="H41" s="79"/>
      <c r="R41" s="93"/>
      <c r="S41" s="93"/>
      <c r="T41" s="93"/>
    </row>
    <row r="42" spans="1:20" ht="12.75" customHeight="1" x14ac:dyDescent="0.4">
      <c r="A42" s="118" t="str">
        <f>"Up to a maximum of 3 certified and assigned Stationary Engineers in the Property Services Division may be paid a Fire Extinguisher"</f>
        <v>Up to a maximum of 3 certified and assigned Stationary Engineers in the Property Services Division may be paid a Fire Extinguisher</v>
      </c>
      <c r="G42" s="109"/>
      <c r="H42" s="120"/>
      <c r="L42" s="80" t="s">
        <v>10</v>
      </c>
      <c r="M42" s="80" t="s">
        <v>165</v>
      </c>
      <c r="N42" s="81" t="s">
        <v>166</v>
      </c>
      <c r="O42" s="100">
        <f>(IF(L42="Y",VLOOKUP(M42,DataJan2024,3,0)*IncrPercJan2024,VLOOKUP(M42,DataJan2024,3,0)))</f>
        <v>0.25</v>
      </c>
      <c r="Q42" s="101" t="str">
        <f t="shared" ref="Q42:S42" si="13">L42</f>
        <v>N</v>
      </c>
      <c r="R42" s="93" t="str">
        <f t="shared" si="13"/>
        <v>CSEFEX</v>
      </c>
      <c r="S42" s="93" t="str">
        <f t="shared" si="13"/>
        <v>Fire Extinguisher Spec-Cert</v>
      </c>
      <c r="T42" s="93">
        <f>ROUND(O42,2)</f>
        <v>0.25</v>
      </c>
    </row>
    <row r="43" spans="1:20" ht="12.75" customHeight="1" x14ac:dyDescent="0.4">
      <c r="A43" s="118" t="str">
        <f>"Certification Premium of "&amp;TEXT(O42,"$0.00")&amp;" for all hours paid."</f>
        <v>Certification Premium of $0.25 for all hours paid.</v>
      </c>
      <c r="G43" s="109"/>
      <c r="H43" s="120"/>
      <c r="R43" s="93"/>
      <c r="S43" s="93"/>
      <c r="T43" s="93"/>
    </row>
    <row r="44" spans="1:20" ht="12.75" customHeight="1" x14ac:dyDescent="0.4">
      <c r="A44" s="121"/>
      <c r="G44" s="109"/>
      <c r="H44" s="120"/>
      <c r="R44" s="93"/>
      <c r="S44" s="93"/>
      <c r="T44" s="93"/>
    </row>
    <row r="45" spans="1:20" ht="12.75" customHeight="1" x14ac:dyDescent="0.4">
      <c r="A45" s="121" t="str">
        <f>"A qualified Water Maintenance Technician designated as Chief Engineer is eligible to receive a premium of "&amp;TEXT(O45,"$0.00")&amp;" per hour for all hours paid."</f>
        <v>A qualified Water Maintenance Technician designated as Chief Engineer is eligible to receive a premium of $1.00 per hour for all hours paid.</v>
      </c>
      <c r="G45" s="109"/>
      <c r="H45" s="120"/>
      <c r="L45" s="80" t="s">
        <v>10</v>
      </c>
      <c r="M45" s="80" t="s">
        <v>215</v>
      </c>
      <c r="N45" s="81" t="s">
        <v>216</v>
      </c>
      <c r="O45" s="100">
        <f>(IF(L45="Y",VLOOKUP(M45,DataJan2024,3,0)*IncrPercJan2024,VLOOKUP(M45,DataJan2024,3,0)))</f>
        <v>1</v>
      </c>
      <c r="Q45" s="101" t="str">
        <f t="shared" ref="Q45:S45" si="14">L45</f>
        <v>N</v>
      </c>
      <c r="R45" s="93" t="str">
        <f t="shared" si="14"/>
        <v>CSECHE</v>
      </c>
      <c r="S45" s="93" t="str">
        <f t="shared" si="14"/>
        <v>Chief Engineer Prem</v>
      </c>
      <c r="T45" s="93">
        <f>ROUND(O45,2)</f>
        <v>1</v>
      </c>
    </row>
    <row r="46" spans="1:20" x14ac:dyDescent="0.4">
      <c r="A46" s="122"/>
      <c r="D46" s="122"/>
      <c r="H46" s="79"/>
      <c r="R46" s="93"/>
      <c r="S46" s="93"/>
      <c r="T46" s="93"/>
    </row>
    <row r="47" spans="1:20" x14ac:dyDescent="0.4">
      <c r="A47" s="110" t="s">
        <v>56</v>
      </c>
      <c r="H47" s="79"/>
      <c r="R47" s="93"/>
      <c r="S47" s="93"/>
      <c r="T47" s="93"/>
    </row>
    <row r="48" spans="1:20" x14ac:dyDescent="0.4">
      <c r="A48" s="96" t="s">
        <v>217</v>
      </c>
      <c r="H48" s="79"/>
      <c r="R48" s="93"/>
      <c r="S48" s="93"/>
      <c r="T48" s="93"/>
    </row>
    <row r="49" spans="1:20" x14ac:dyDescent="0.4">
      <c r="A49" s="97">
        <f>O49</f>
        <v>0.42614085746948444</v>
      </c>
      <c r="B49" s="123" t="s">
        <v>59</v>
      </c>
      <c r="H49" s="79"/>
      <c r="L49" s="80" t="s">
        <v>206</v>
      </c>
      <c r="M49" s="80" t="s">
        <v>167</v>
      </c>
      <c r="O49" s="100">
        <f>(IF(L49="Y",VLOOKUP(M49,DataJan2024,3,0)*IncrPercJan2024,VLOOKUP(M49,DataJan2024,3,0)))</f>
        <v>0.42614085746948444</v>
      </c>
      <c r="Q49" s="101" t="str">
        <f>L49</f>
        <v>Y</v>
      </c>
      <c r="R49" s="93" t="str">
        <f>M49</f>
        <v>10th</v>
      </c>
      <c r="S49" s="93">
        <f>N49</f>
        <v>0</v>
      </c>
      <c r="T49" s="93">
        <f>ROUND(O49,3)</f>
        <v>0.42599999999999999</v>
      </c>
    </row>
    <row r="50" spans="1:20" x14ac:dyDescent="0.4">
      <c r="A50" s="97">
        <f t="shared" ref="A50:A52" si="15">O50</f>
        <v>0.51716732317527092</v>
      </c>
      <c r="B50" s="123" t="s">
        <v>60</v>
      </c>
      <c r="H50" s="79"/>
      <c r="L50" s="80" t="s">
        <v>206</v>
      </c>
      <c r="M50" s="80" t="s">
        <v>168</v>
      </c>
      <c r="O50" s="100">
        <f>(IF(L50="Y",VLOOKUP(M50,DataJan2024,3,0)*IncrPercJan2024,VLOOKUP(M50,DataJan2024,3,0)))</f>
        <v>0.51716732317527092</v>
      </c>
      <c r="Q50" s="101" t="str">
        <f t="shared" ref="Q50:S52" si="16">L50</f>
        <v>Y</v>
      </c>
      <c r="R50" s="93" t="str">
        <f t="shared" si="16"/>
        <v>15th</v>
      </c>
      <c r="S50" s="93">
        <f t="shared" si="16"/>
        <v>0</v>
      </c>
      <c r="T50" s="93">
        <f t="shared" ref="T50:T52" si="17">ROUND(O50,3)</f>
        <v>0.51700000000000002</v>
      </c>
    </row>
    <row r="51" spans="1:20" x14ac:dyDescent="0.4">
      <c r="A51" s="97">
        <f t="shared" si="15"/>
        <v>0.61311413837866724</v>
      </c>
      <c r="B51" s="123" t="s">
        <v>61</v>
      </c>
      <c r="E51" s="141">
        <f>(O52+0.2)*1.04</f>
        <v>0.94286480998658928</v>
      </c>
      <c r="H51" s="79"/>
      <c r="L51" s="80" t="s">
        <v>206</v>
      </c>
      <c r="M51" s="80" t="s">
        <v>169</v>
      </c>
      <c r="O51" s="100">
        <f>(IF(L51="Y",VLOOKUP(M51,DataJan2024,3,0)*IncrPercJan2024,VLOOKUP(M51,DataJan2024,3,0)))</f>
        <v>0.61311413837866724</v>
      </c>
      <c r="Q51" s="101" t="str">
        <f t="shared" si="16"/>
        <v>Y</v>
      </c>
      <c r="R51" s="93" t="str">
        <f t="shared" si="16"/>
        <v>20th</v>
      </c>
      <c r="S51" s="93">
        <f t="shared" si="16"/>
        <v>0</v>
      </c>
      <c r="T51" s="93">
        <f t="shared" si="17"/>
        <v>0.61299999999999999</v>
      </c>
    </row>
    <row r="52" spans="1:20" x14ac:dyDescent="0.4">
      <c r="A52" s="97">
        <f t="shared" si="15"/>
        <v>0.70660077883325878</v>
      </c>
      <c r="B52" s="123" t="s">
        <v>62</v>
      </c>
      <c r="C52" s="124"/>
      <c r="D52" s="124"/>
      <c r="H52" s="79"/>
      <c r="L52" s="80" t="s">
        <v>206</v>
      </c>
      <c r="M52" s="80" t="s">
        <v>170</v>
      </c>
      <c r="O52" s="100">
        <f>(IF(L52="Y",VLOOKUP(M52,DataJan2024,3,0)*IncrPercJan2024,VLOOKUP(M52,DataJan2024,3,0)))</f>
        <v>0.70660077883325878</v>
      </c>
      <c r="Q52" s="101" t="str">
        <f t="shared" si="16"/>
        <v>Y</v>
      </c>
      <c r="R52" s="93" t="str">
        <f t="shared" si="16"/>
        <v>25th</v>
      </c>
      <c r="S52" s="93">
        <f t="shared" si="16"/>
        <v>0</v>
      </c>
      <c r="T52" s="93">
        <f t="shared" si="17"/>
        <v>0.70699999999999996</v>
      </c>
    </row>
    <row r="53" spans="1:20" x14ac:dyDescent="0.4">
      <c r="A53" s="125"/>
      <c r="B53" s="124"/>
      <c r="C53" s="124"/>
      <c r="D53" s="124"/>
      <c r="H53" s="79"/>
      <c r="R53" s="93"/>
      <c r="S53" s="93"/>
      <c r="T53" s="93"/>
    </row>
    <row r="54" spans="1:20" x14ac:dyDescent="0.4">
      <c r="A54" s="126" t="s">
        <v>63</v>
      </c>
      <c r="B54" s="86"/>
      <c r="C54" s="86"/>
      <c r="D54" s="86"/>
      <c r="H54" s="79"/>
      <c r="J54" s="86"/>
      <c r="K54" s="86"/>
      <c r="L54" s="116"/>
      <c r="M54" s="116"/>
      <c r="R54" s="93"/>
      <c r="S54" s="93"/>
      <c r="T54" s="93"/>
    </row>
    <row r="55" spans="1:20" x14ac:dyDescent="0.4">
      <c r="A55" s="78" t="s">
        <v>64</v>
      </c>
      <c r="H55" s="79"/>
      <c r="R55" s="93"/>
      <c r="S55" s="93"/>
      <c r="T55" s="93"/>
    </row>
    <row r="56" spans="1:20" x14ac:dyDescent="0.4">
      <c r="A56" s="118" t="str">
        <f>TEXT(O56,"$0.00")&amp;" for each weekday the employee is on on-call"</f>
        <v>$41.80 for each weekday the employee is on on-call</v>
      </c>
      <c r="H56" s="79"/>
      <c r="L56" s="80" t="s">
        <v>206</v>
      </c>
      <c r="M56" s="127" t="s">
        <v>171</v>
      </c>
      <c r="N56" s="81" t="s">
        <v>172</v>
      </c>
      <c r="O56" s="100">
        <f>(IF(L56="Y",VLOOKUP(M56,DataJan2024,3,0)*IncrPercJan2024,VLOOKUP(M56,DataJan2024,3,0)))</f>
        <v>41.8</v>
      </c>
      <c r="Q56" s="101" t="str">
        <f t="shared" ref="Q56:S57" si="18">L56</f>
        <v>Y</v>
      </c>
      <c r="R56" s="93" t="str">
        <f t="shared" si="18"/>
        <v>CSECDY</v>
      </c>
      <c r="S56" s="93" t="str">
        <f t="shared" si="18"/>
        <v>TL-On call by the day-CSE</v>
      </c>
      <c r="T56" s="93">
        <f t="shared" ref="T56:T57" si="19">ROUND(O56,2)</f>
        <v>41.8</v>
      </c>
    </row>
    <row r="57" spans="1:20" x14ac:dyDescent="0.4">
      <c r="A57" s="118" t="str">
        <f>TEXT(O57,"$0.00")&amp;" for each weekend day (Saturday or Sunday) or holiday the employee is on-call"</f>
        <v>$52.25 for each weekend day (Saturday or Sunday) or holiday the employee is on-call</v>
      </c>
      <c r="H57" s="79"/>
      <c r="L57" s="80" t="s">
        <v>206</v>
      </c>
      <c r="M57" s="80" t="s">
        <v>173</v>
      </c>
      <c r="N57" s="81" t="s">
        <v>174</v>
      </c>
      <c r="O57" s="100">
        <f>(IF(L57="Y",VLOOKUP(M57,DataJan2024,3,0)*IncrPercJan2024,VLOOKUP(M57,DataJan2024,3,0)))</f>
        <v>52.25</v>
      </c>
      <c r="Q57" s="101" t="str">
        <f t="shared" si="18"/>
        <v>Y</v>
      </c>
      <c r="R57" s="93" t="str">
        <f t="shared" si="18"/>
        <v>CSECWE</v>
      </c>
      <c r="S57" s="93" t="str">
        <f t="shared" si="18"/>
        <v>TL-On call by day Weekend-CSE</v>
      </c>
      <c r="T57" s="93">
        <f t="shared" si="19"/>
        <v>52.25</v>
      </c>
    </row>
    <row r="58" spans="1:20" x14ac:dyDescent="0.4">
      <c r="A58" s="118" t="s">
        <v>67</v>
      </c>
      <c r="H58" s="79"/>
      <c r="R58" s="93"/>
      <c r="S58" s="93"/>
      <c r="T58" s="93"/>
    </row>
    <row r="59" spans="1:20" x14ac:dyDescent="0.4">
      <c r="A59" s="118" t="s">
        <v>68</v>
      </c>
      <c r="H59" s="79"/>
      <c r="R59" s="93"/>
      <c r="S59" s="93"/>
      <c r="T59" s="93"/>
    </row>
    <row r="60" spans="1:20" x14ac:dyDescent="0.4">
      <c r="R60" s="93"/>
      <c r="S60" s="93"/>
      <c r="T60" s="93"/>
    </row>
    <row r="61" spans="1:20" x14ac:dyDescent="0.4">
      <c r="A61" s="126" t="s">
        <v>218</v>
      </c>
      <c r="R61" s="93"/>
      <c r="S61" s="93"/>
      <c r="T61" s="93"/>
    </row>
    <row r="62" spans="1:20" x14ac:dyDescent="0.4">
      <c r="A62" s="78" t="s">
        <v>219</v>
      </c>
      <c r="R62" s="93"/>
      <c r="S62" s="93"/>
      <c r="T62" s="93"/>
    </row>
    <row r="63" spans="1:20" x14ac:dyDescent="0.4">
      <c r="A63" s="78" t="s">
        <v>220</v>
      </c>
      <c r="N63" s="80"/>
      <c r="O63" s="80"/>
      <c r="R63" s="93"/>
      <c r="S63" s="93"/>
      <c r="T63" s="93"/>
    </row>
    <row r="64" spans="1:20" x14ac:dyDescent="0.4">
      <c r="A64" s="78" t="s">
        <v>221</v>
      </c>
      <c r="L64" s="80" t="s">
        <v>206</v>
      </c>
      <c r="M64" s="80" t="s">
        <v>131</v>
      </c>
      <c r="N64" s="81" t="s">
        <v>132</v>
      </c>
      <c r="O64" s="100">
        <f>(IF(L64="Y",VLOOKUP(M64,DataJan2024,3,0)*IncrPercJan2024,VLOOKUP(M64,DataJan2024,3,0)))</f>
        <v>3.5611585762499995</v>
      </c>
      <c r="Q64" s="101" t="str">
        <f t="shared" ref="Q64:S66" si="20">L64</f>
        <v>Y</v>
      </c>
      <c r="R64" s="93" t="str">
        <f t="shared" si="20"/>
        <v>CSEW1P</v>
      </c>
      <c r="S64" s="93" t="str">
        <f t="shared" si="20"/>
        <v>Sat/Sun 1st Shft + AM/EVE Shft</v>
      </c>
      <c r="T64" s="93">
        <f t="shared" ref="T64:T66" si="21">ROUND(O64,2)</f>
        <v>3.56</v>
      </c>
    </row>
    <row r="65" spans="12:20" x14ac:dyDescent="0.4">
      <c r="L65" s="80" t="s">
        <v>206</v>
      </c>
      <c r="M65" s="80" t="s">
        <v>133</v>
      </c>
      <c r="N65" s="81" t="s">
        <v>134</v>
      </c>
      <c r="O65" s="100">
        <f>(IF(L65="Y",VLOOKUP(M65,DataJan2024,3,0)*IncrPercJan2024,VLOOKUP(M65,DataJan2024,3,0)))</f>
        <v>4.0986919462499989</v>
      </c>
      <c r="Q65" s="101" t="str">
        <f t="shared" si="20"/>
        <v>Y</v>
      </c>
      <c r="R65" s="93" t="str">
        <f t="shared" si="20"/>
        <v>CSEW2P</v>
      </c>
      <c r="S65" s="93" t="str">
        <f t="shared" si="20"/>
        <v>Sat/Sun 2nd Shft + AM/EVE Shft</v>
      </c>
      <c r="T65" s="93">
        <f t="shared" si="21"/>
        <v>4.0999999999999996</v>
      </c>
    </row>
    <row r="66" spans="12:20" x14ac:dyDescent="0.4">
      <c r="L66" s="80" t="s">
        <v>206</v>
      </c>
      <c r="M66" s="80" t="s">
        <v>135</v>
      </c>
      <c r="N66" s="81" t="s">
        <v>136</v>
      </c>
      <c r="O66" s="100">
        <f>(IF(L66="Y",VLOOKUP(M66,DataJan2024,3,0)*IncrPercJan2024,VLOOKUP(M66,DataJan2024,3,0)))</f>
        <v>4.4010544668749993</v>
      </c>
      <c r="Q66" s="101" t="str">
        <f t="shared" si="20"/>
        <v>Y</v>
      </c>
      <c r="R66" s="93" t="str">
        <f t="shared" si="20"/>
        <v>CSEW3P</v>
      </c>
      <c r="S66" s="93" t="str">
        <f t="shared" si="20"/>
        <v>Sat/Sun 3rd Shft + AM/EVE Shft</v>
      </c>
      <c r="T66" s="93">
        <f t="shared" si="21"/>
        <v>4.4000000000000004</v>
      </c>
    </row>
  </sheetData>
  <mergeCells count="1">
    <mergeCell ref="A3:C3"/>
  </mergeCells>
  <pageMargins left="0.2" right="0.2" top="0.75" bottom="0.75" header="0.3" footer="0.3"/>
  <pageSetup fitToHeight="0" orientation="landscape" r:id="rId1"/>
  <headerFooter alignWithMargins="0">
    <oddFooter>&amp;L&amp;8Last Updated:  &amp;D&amp;R&amp;8Page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102E9-2EF0-45D5-9FCA-FD717CDE2EDC}">
  <sheetPr>
    <pageSetUpPr fitToPage="1"/>
  </sheetPr>
  <dimension ref="A1:V68"/>
  <sheetViews>
    <sheetView showGridLines="0" topLeftCell="I23" workbookViewId="0">
      <selection activeCell="L23" sqref="L1:V1048576"/>
    </sheetView>
  </sheetViews>
  <sheetFormatPr defaultColWidth="9.1328125" defaultRowHeight="13.15" x14ac:dyDescent="0.4"/>
  <cols>
    <col min="1" max="1" width="9.1328125" style="78"/>
    <col min="2" max="2" width="10.33203125" style="78" customWidth="1"/>
    <col min="3" max="3" width="12.59765625" style="78" customWidth="1"/>
    <col min="4" max="4" width="57.73046875" style="78" bestFit="1" customWidth="1"/>
    <col min="5" max="5" width="6.1328125" style="78" customWidth="1"/>
    <col min="6" max="6" width="7.1328125" style="78" customWidth="1"/>
    <col min="7" max="7" width="8.265625" style="78" customWidth="1"/>
    <col min="8" max="8" width="7.3984375" style="78" bestFit="1" customWidth="1"/>
    <col min="9" max="9" width="22.1328125" style="78" customWidth="1"/>
    <col min="10" max="10" width="11.59765625" style="78" customWidth="1"/>
    <col min="11" max="11" width="60.59765625" style="78" customWidth="1"/>
    <col min="12" max="12" width="16.265625" style="80" hidden="1" customWidth="1"/>
    <col min="13" max="13" width="7.3984375" style="80" hidden="1" customWidth="1"/>
    <col min="14" max="14" width="25.86328125" style="81" hidden="1" customWidth="1"/>
    <col min="15" max="15" width="7.73046875" style="84" hidden="1" customWidth="1"/>
    <col min="16" max="16" width="6.1328125" style="78" hidden="1" customWidth="1"/>
    <col min="17" max="17" width="11" style="83" hidden="1" customWidth="1"/>
    <col min="18" max="18" width="7.3984375" style="83" hidden="1" customWidth="1"/>
    <col min="19" max="19" width="25.86328125" style="83" hidden="1" customWidth="1"/>
    <col min="20" max="20" width="7.3984375" style="83" hidden="1" customWidth="1"/>
    <col min="21" max="22" width="9.1328125" style="78" hidden="1" customWidth="1"/>
    <col min="23" max="23" width="9.1328125" style="78" customWidth="1"/>
    <col min="24" max="16384" width="9.1328125" style="78"/>
  </cols>
  <sheetData>
    <row r="1" spans="1:21" ht="15.75" x14ac:dyDescent="0.5">
      <c r="A1" s="147" t="s">
        <v>191</v>
      </c>
    </row>
    <row r="2" spans="1:21" ht="15.75" x14ac:dyDescent="0.5">
      <c r="A2" s="77" t="s">
        <v>192</v>
      </c>
      <c r="I2" s="79"/>
      <c r="N2" s="81" t="s">
        <v>251</v>
      </c>
      <c r="O2" s="82">
        <v>1.04</v>
      </c>
    </row>
    <row r="3" spans="1:21" x14ac:dyDescent="0.4">
      <c r="A3" s="165" t="s">
        <v>254</v>
      </c>
      <c r="B3" s="165"/>
      <c r="C3" s="165"/>
      <c r="H3" s="79"/>
    </row>
    <row r="4" spans="1:21" x14ac:dyDescent="0.4">
      <c r="A4" s="85" t="s">
        <v>257</v>
      </c>
      <c r="B4" s="151"/>
      <c r="C4" s="151"/>
      <c r="H4" s="79"/>
    </row>
    <row r="5" spans="1:21" x14ac:dyDescent="0.4">
      <c r="A5" s="96" t="s">
        <v>256</v>
      </c>
      <c r="B5" s="151"/>
      <c r="C5" s="151"/>
      <c r="H5" s="79"/>
    </row>
    <row r="6" spans="1:21" x14ac:dyDescent="0.4">
      <c r="H6" s="79"/>
      <c r="I6" s="86"/>
      <c r="J6" s="86"/>
      <c r="L6" s="80" t="s">
        <v>197</v>
      </c>
      <c r="Q6" s="83" t="s">
        <v>198</v>
      </c>
    </row>
    <row r="7" spans="1:21" ht="26.25" x14ac:dyDescent="0.4">
      <c r="A7" s="87" t="s">
        <v>199</v>
      </c>
      <c r="B7" s="87" t="s">
        <v>200</v>
      </c>
      <c r="C7" s="87" t="s">
        <v>201</v>
      </c>
      <c r="D7" s="88" t="s">
        <v>5</v>
      </c>
      <c r="E7" s="89" t="s">
        <v>202</v>
      </c>
      <c r="F7" s="87" t="s">
        <v>203</v>
      </c>
      <c r="G7" s="87" t="s">
        <v>204</v>
      </c>
      <c r="H7" s="89" t="s">
        <v>117</v>
      </c>
      <c r="L7" s="80" t="s">
        <v>205</v>
      </c>
      <c r="M7" s="90" t="s">
        <v>140</v>
      </c>
      <c r="N7" s="81" t="s">
        <v>141</v>
      </c>
      <c r="O7" s="84" t="s">
        <v>142</v>
      </c>
      <c r="Q7" s="83" t="s">
        <v>205</v>
      </c>
      <c r="R7" s="91" t="s">
        <v>140</v>
      </c>
      <c r="S7" s="92" t="s">
        <v>141</v>
      </c>
      <c r="T7" s="93" t="s">
        <v>142</v>
      </c>
    </row>
    <row r="8" spans="1:21" x14ac:dyDescent="0.4">
      <c r="A8" s="94" t="s">
        <v>118</v>
      </c>
      <c r="B8" s="95" t="s">
        <v>228</v>
      </c>
      <c r="C8" s="94" t="s">
        <v>229</v>
      </c>
      <c r="D8" s="96" t="s">
        <v>230</v>
      </c>
      <c r="E8" s="94">
        <v>168</v>
      </c>
      <c r="F8" s="94">
        <v>3</v>
      </c>
      <c r="G8" s="94" t="s">
        <v>13</v>
      </c>
      <c r="H8" s="97">
        <f>O8</f>
        <v>34.150480000000002</v>
      </c>
      <c r="I8" s="152"/>
      <c r="L8" s="80" t="s">
        <v>206</v>
      </c>
      <c r="M8" s="99" t="str">
        <f>C8</f>
        <v>59476C</v>
      </c>
      <c r="N8" s="81" t="s">
        <v>228</v>
      </c>
      <c r="O8" s="100">
        <f t="shared" ref="O8:O14" si="0">(IF(L8="Y",VLOOKUP(M8,DataOct24,3,0)*IncrPerc2024,VLOOKUP(M8,DataOct24,3,0)))</f>
        <v>34.150480000000002</v>
      </c>
      <c r="Q8" s="101" t="str">
        <f t="shared" ref="Q8:S14" si="1">L8</f>
        <v>Y</v>
      </c>
      <c r="R8" s="101" t="str">
        <f t="shared" si="1"/>
        <v>59476C</v>
      </c>
      <c r="S8" s="92" t="str">
        <f t="shared" si="1"/>
        <v>11</v>
      </c>
      <c r="T8" s="102">
        <f>ROUND(O8,3)</f>
        <v>34.15</v>
      </c>
      <c r="U8" s="157"/>
    </row>
    <row r="9" spans="1:21" x14ac:dyDescent="0.4">
      <c r="A9" s="94" t="s">
        <v>118</v>
      </c>
      <c r="B9" s="95" t="s">
        <v>119</v>
      </c>
      <c r="C9" s="94" t="s">
        <v>11</v>
      </c>
      <c r="D9" s="96" t="s">
        <v>177</v>
      </c>
      <c r="E9" s="94">
        <v>280</v>
      </c>
      <c r="F9" s="94">
        <v>6</v>
      </c>
      <c r="G9" s="94" t="s">
        <v>13</v>
      </c>
      <c r="H9" s="97">
        <f>O9</f>
        <v>38.725944400000003</v>
      </c>
      <c r="I9" s="152"/>
      <c r="L9" s="80" t="s">
        <v>206</v>
      </c>
      <c r="M9" s="99" t="str">
        <f t="shared" ref="M9:M14" si="2">C9</f>
        <v>07300C</v>
      </c>
      <c r="N9" s="81" t="s">
        <v>119</v>
      </c>
      <c r="O9" s="100">
        <f t="shared" si="0"/>
        <v>38.725944400000003</v>
      </c>
      <c r="Q9" s="101" t="str">
        <f t="shared" si="1"/>
        <v>Y</v>
      </c>
      <c r="R9" s="101" t="str">
        <f t="shared" si="1"/>
        <v>07300C</v>
      </c>
      <c r="S9" s="92" t="str">
        <f t="shared" si="1"/>
        <v>03</v>
      </c>
      <c r="T9" s="102">
        <f>ROUND(O9,3)</f>
        <v>38.725999999999999</v>
      </c>
      <c r="U9" s="157"/>
    </row>
    <row r="10" spans="1:21" x14ac:dyDescent="0.4">
      <c r="A10" s="94" t="s">
        <v>118</v>
      </c>
      <c r="B10" s="95" t="s">
        <v>121</v>
      </c>
      <c r="C10" s="94" t="s">
        <v>144</v>
      </c>
      <c r="D10" s="96" t="s">
        <v>178</v>
      </c>
      <c r="E10" s="94">
        <v>335</v>
      </c>
      <c r="F10" s="94">
        <v>7</v>
      </c>
      <c r="G10" s="94" t="s">
        <v>13</v>
      </c>
      <c r="H10" s="97">
        <f t="shared" ref="H10:H14" si="3">O10</f>
        <v>41.8776644</v>
      </c>
      <c r="I10" s="152"/>
      <c r="L10" s="80" t="s">
        <v>206</v>
      </c>
      <c r="M10" s="99" t="str">
        <f t="shared" si="2"/>
        <v>59400C</v>
      </c>
      <c r="N10" s="81" t="s">
        <v>121</v>
      </c>
      <c r="O10" s="100">
        <f t="shared" si="0"/>
        <v>41.8776644</v>
      </c>
      <c r="Q10" s="101" t="str">
        <f t="shared" si="1"/>
        <v>Y</v>
      </c>
      <c r="R10" s="101" t="str">
        <f t="shared" si="1"/>
        <v>59400C</v>
      </c>
      <c r="S10" s="92" t="str">
        <f t="shared" si="1"/>
        <v>08</v>
      </c>
      <c r="T10" s="102">
        <f t="shared" ref="T10:T14" si="4">ROUND(O10,3)</f>
        <v>41.878</v>
      </c>
      <c r="U10" s="157"/>
    </row>
    <row r="11" spans="1:21" x14ac:dyDescent="0.4">
      <c r="A11" s="94" t="s">
        <v>118</v>
      </c>
      <c r="B11" s="95" t="s">
        <v>120</v>
      </c>
      <c r="C11" s="94" t="s">
        <v>18</v>
      </c>
      <c r="D11" s="96" t="s">
        <v>19</v>
      </c>
      <c r="E11" s="94">
        <v>193</v>
      </c>
      <c r="F11" s="94">
        <v>4</v>
      </c>
      <c r="G11" s="94" t="s">
        <v>13</v>
      </c>
      <c r="H11" s="97">
        <f t="shared" si="3"/>
        <v>37.107699199999999</v>
      </c>
      <c r="I11" s="152"/>
      <c r="L11" s="80" t="s">
        <v>206</v>
      </c>
      <c r="M11" s="99" t="str">
        <f>C11</f>
        <v>09330C</v>
      </c>
      <c r="N11" s="81" t="s">
        <v>120</v>
      </c>
      <c r="O11" s="100">
        <f t="shared" si="0"/>
        <v>37.107699199999999</v>
      </c>
      <c r="Q11" s="101" t="str">
        <f t="shared" si="1"/>
        <v>Y</v>
      </c>
      <c r="R11" s="101" t="str">
        <f t="shared" si="1"/>
        <v>09330C</v>
      </c>
      <c r="S11" s="92" t="str">
        <f t="shared" si="1"/>
        <v>02</v>
      </c>
      <c r="T11" s="102">
        <f t="shared" si="4"/>
        <v>37.107999999999997</v>
      </c>
      <c r="U11" s="157"/>
    </row>
    <row r="12" spans="1:21" x14ac:dyDescent="0.4">
      <c r="A12" s="94" t="s">
        <v>118</v>
      </c>
      <c r="B12" s="95" t="s">
        <v>119</v>
      </c>
      <c r="C12" s="94" t="s">
        <v>20</v>
      </c>
      <c r="D12" s="96" t="s">
        <v>21</v>
      </c>
      <c r="E12" s="94">
        <v>273</v>
      </c>
      <c r="F12" s="94">
        <v>6</v>
      </c>
      <c r="G12" s="94" t="s">
        <v>13</v>
      </c>
      <c r="H12" s="97">
        <f t="shared" si="3"/>
        <v>38.725944400000003</v>
      </c>
      <c r="I12" s="152"/>
      <c r="L12" s="80" t="s">
        <v>206</v>
      </c>
      <c r="M12" s="99" t="str">
        <f t="shared" si="2"/>
        <v>09340C</v>
      </c>
      <c r="N12" s="81" t="s">
        <v>119</v>
      </c>
      <c r="O12" s="100">
        <f t="shared" si="0"/>
        <v>38.725944400000003</v>
      </c>
      <c r="Q12" s="101" t="str">
        <f t="shared" si="1"/>
        <v>Y</v>
      </c>
      <c r="R12" s="101" t="str">
        <f t="shared" si="1"/>
        <v>09340C</v>
      </c>
      <c r="S12" s="92" t="str">
        <f t="shared" si="1"/>
        <v>03</v>
      </c>
      <c r="T12" s="102">
        <f t="shared" si="4"/>
        <v>38.725999999999999</v>
      </c>
      <c r="U12" s="157"/>
    </row>
    <row r="13" spans="1:21" x14ac:dyDescent="0.4">
      <c r="A13" s="94" t="s">
        <v>118</v>
      </c>
      <c r="B13" s="95" t="s">
        <v>121</v>
      </c>
      <c r="C13" s="94" t="s">
        <v>72</v>
      </c>
      <c r="D13" s="96" t="s">
        <v>98</v>
      </c>
      <c r="E13" s="94">
        <v>335</v>
      </c>
      <c r="F13" s="94">
        <v>7</v>
      </c>
      <c r="G13" s="94" t="s">
        <v>13</v>
      </c>
      <c r="H13" s="97">
        <f t="shared" si="3"/>
        <v>41.878186771293038</v>
      </c>
      <c r="I13" s="152"/>
      <c r="L13" s="80" t="s">
        <v>206</v>
      </c>
      <c r="M13" s="99" t="str">
        <f t="shared" si="2"/>
        <v>09345C</v>
      </c>
      <c r="N13" s="81" t="s">
        <v>121</v>
      </c>
      <c r="O13" s="100">
        <f t="shared" si="0"/>
        <v>41.878186771293038</v>
      </c>
      <c r="Q13" s="101" t="str">
        <f t="shared" si="1"/>
        <v>Y</v>
      </c>
      <c r="R13" s="101" t="str">
        <f t="shared" si="1"/>
        <v>09345C</v>
      </c>
      <c r="S13" s="92" t="str">
        <f t="shared" si="1"/>
        <v>08</v>
      </c>
      <c r="T13" s="102">
        <f t="shared" si="4"/>
        <v>41.878</v>
      </c>
      <c r="U13" s="157"/>
    </row>
    <row r="14" spans="1:21" x14ac:dyDescent="0.4">
      <c r="A14" s="94" t="s">
        <v>118</v>
      </c>
      <c r="B14" s="95" t="s">
        <v>231</v>
      </c>
      <c r="C14" s="94" t="s">
        <v>74</v>
      </c>
      <c r="D14" s="96" t="s">
        <v>99</v>
      </c>
      <c r="E14" s="94">
        <v>288</v>
      </c>
      <c r="F14" s="94">
        <v>6</v>
      </c>
      <c r="G14" s="94" t="s">
        <v>13</v>
      </c>
      <c r="H14" s="97">
        <f t="shared" si="3"/>
        <v>39.832306799999998</v>
      </c>
      <c r="I14" s="152"/>
      <c r="L14" s="80" t="s">
        <v>206</v>
      </c>
      <c r="M14" s="99" t="str">
        <f t="shared" si="2"/>
        <v>10859C</v>
      </c>
      <c r="N14" s="81" t="s">
        <v>231</v>
      </c>
      <c r="O14" s="100">
        <f t="shared" si="0"/>
        <v>39.832306799999998</v>
      </c>
      <c r="Q14" s="101" t="str">
        <f t="shared" si="1"/>
        <v>Y</v>
      </c>
      <c r="R14" s="101" t="str">
        <f t="shared" si="1"/>
        <v>10859C</v>
      </c>
      <c r="S14" s="92" t="str">
        <f t="shared" si="1"/>
        <v>12</v>
      </c>
      <c r="T14" s="102">
        <f t="shared" si="4"/>
        <v>39.832000000000001</v>
      </c>
      <c r="U14" s="157"/>
    </row>
    <row r="15" spans="1:21" x14ac:dyDescent="0.4">
      <c r="A15" s="103"/>
      <c r="B15" s="103"/>
      <c r="C15" s="86"/>
      <c r="D15" s="86"/>
      <c r="E15" s="103"/>
      <c r="F15" s="103"/>
      <c r="G15" s="103"/>
      <c r="H15" s="103"/>
      <c r="I15" s="103"/>
      <c r="J15" s="103"/>
      <c r="U15" s="157"/>
    </row>
    <row r="16" spans="1:21" x14ac:dyDescent="0.4">
      <c r="A16" s="137" t="s">
        <v>207</v>
      </c>
      <c r="B16" s="79"/>
      <c r="C16" s="94"/>
      <c r="D16" s="104"/>
      <c r="E16" s="105"/>
      <c r="F16" s="106"/>
      <c r="U16" s="157"/>
    </row>
    <row r="17" spans="1:21" x14ac:dyDescent="0.4">
      <c r="A17" s="138" t="s">
        <v>35</v>
      </c>
      <c r="H17" s="79"/>
      <c r="P17" s="107"/>
      <c r="U17" s="157"/>
    </row>
    <row r="18" spans="1:21" x14ac:dyDescent="0.4">
      <c r="A18" s="139" t="str">
        <f>"Provided that an additional "&amp;TEXT(O18,"$0.00")&amp;" per hour shall be paid, for all hours worked to employees whose regularly scheduled shift begins"</f>
        <v>Provided that an additional $2.01 per hour shall be paid, for all hours worked to employees whose regularly scheduled shift begins</v>
      </c>
      <c r="H18" s="79"/>
      <c r="L18" s="80" t="s">
        <v>206</v>
      </c>
      <c r="M18" s="80" t="s">
        <v>147</v>
      </c>
      <c r="N18" s="81" t="s">
        <v>148</v>
      </c>
      <c r="O18" s="100">
        <f t="shared" ref="O18:O19" si="5">(IF(L18="Y",VLOOKUP(M18,DataOct24,3,0)*IncrPerc2024,VLOOKUP(M18,DataOct24,3,0)))</f>
        <v>2.0055370034699993</v>
      </c>
      <c r="P18" s="107"/>
      <c r="Q18" s="101" t="str">
        <f t="shared" ref="Q18:S20" si="6">L18</f>
        <v>Y</v>
      </c>
      <c r="R18" s="93" t="str">
        <f t="shared" si="6"/>
        <v>CSEAM1</v>
      </c>
      <c r="S18" s="93" t="str">
        <f t="shared" si="6"/>
        <v>TL-Morning Shift Premium CSE</v>
      </c>
      <c r="T18" s="102">
        <f>ROUND(O18,3)</f>
        <v>2.0059999999999998</v>
      </c>
      <c r="U18" s="157"/>
    </row>
    <row r="19" spans="1:21" x14ac:dyDescent="0.4">
      <c r="A19" s="139" t="s">
        <v>208</v>
      </c>
      <c r="H19" s="79"/>
      <c r="L19" s="80" t="s">
        <v>206</v>
      </c>
      <c r="M19" s="80" t="s">
        <v>149</v>
      </c>
      <c r="N19" s="81" t="s">
        <v>150</v>
      </c>
      <c r="O19" s="100">
        <f t="shared" si="5"/>
        <v>2.0055370034699993</v>
      </c>
      <c r="P19" s="107"/>
      <c r="Q19" s="101" t="str">
        <f t="shared" si="6"/>
        <v>Y</v>
      </c>
      <c r="R19" s="93" t="str">
        <f t="shared" si="6"/>
        <v>CSEEVE</v>
      </c>
      <c r="S19" s="93" t="str">
        <f t="shared" si="6"/>
        <v>TL-Evening Shift Premium-CSE</v>
      </c>
      <c r="T19" s="102">
        <f>ROUND(O19,3)</f>
        <v>2.0059999999999998</v>
      </c>
      <c r="U19" s="157"/>
    </row>
    <row r="20" spans="1:21" x14ac:dyDescent="0.4">
      <c r="A20" s="139" t="str">
        <f>"For the Property Services shift that is scheduled from 11:00 p.m. - 7:00 a.m. "&amp;TEXT(O20,"$0.00")&amp;" per hour shall be paid for all hours worked."</f>
        <v>For the Property Services shift that is scheduled from 11:00 p.m. - 7:00 a.m. $2.50 per hour shall be paid for all hours worked.</v>
      </c>
      <c r="H20" s="79"/>
      <c r="L20" s="80" t="s">
        <v>206</v>
      </c>
      <c r="M20" s="160" t="s">
        <v>261</v>
      </c>
      <c r="N20" s="161" t="s">
        <v>262</v>
      </c>
      <c r="O20" s="100">
        <v>2.5</v>
      </c>
      <c r="P20" s="107"/>
      <c r="Q20" s="101" t="str">
        <f t="shared" si="6"/>
        <v>Y</v>
      </c>
      <c r="R20" s="160" t="s">
        <v>261</v>
      </c>
      <c r="S20" s="161" t="s">
        <v>262</v>
      </c>
      <c r="T20" s="102">
        <f>ROUND(O20,3)</f>
        <v>2.5</v>
      </c>
      <c r="U20" s="157"/>
    </row>
    <row r="21" spans="1:21" x14ac:dyDescent="0.4">
      <c r="A21" s="139"/>
      <c r="H21" s="79"/>
      <c r="P21" s="107"/>
      <c r="R21" s="93"/>
      <c r="S21" s="93"/>
      <c r="T21" s="102"/>
      <c r="U21" s="157"/>
    </row>
    <row r="22" spans="1:21" x14ac:dyDescent="0.4">
      <c r="A22" s="151" t="s">
        <v>38</v>
      </c>
      <c r="H22" s="79"/>
      <c r="P22" s="107"/>
      <c r="R22" s="93"/>
      <c r="S22" s="93"/>
      <c r="T22" s="102"/>
      <c r="U22" s="157"/>
    </row>
    <row r="23" spans="1:21" x14ac:dyDescent="0.4">
      <c r="A23" s="139" t="s">
        <v>180</v>
      </c>
      <c r="H23" s="79"/>
      <c r="P23" s="107"/>
      <c r="R23" s="93"/>
      <c r="S23" s="93"/>
      <c r="T23" s="102"/>
      <c r="U23" s="157"/>
    </row>
    <row r="24" spans="1:21" x14ac:dyDescent="0.4">
      <c r="A24" s="140" t="s">
        <v>81</v>
      </c>
      <c r="C24" s="96" t="str">
        <f>"For all hours worked on shifts that begin between 6:00 a.m. and 1:59 p.m., employees shall be paid a premium of "&amp;TEXT(O24,"$0.00")&amp;" per hour."</f>
        <v>For all hours worked on shifts that begin between 6:00 a.m. and 1:59 p.m., employees shall be paid a premium of $1.69 per hour.</v>
      </c>
      <c r="H24" s="79"/>
      <c r="L24" s="80" t="s">
        <v>206</v>
      </c>
      <c r="M24" s="80" t="s">
        <v>151</v>
      </c>
      <c r="N24" s="81" t="s">
        <v>152</v>
      </c>
      <c r="O24" s="100">
        <f t="shared" ref="O24:O26" si="7">(IF(L24="Y",VLOOKUP(M24,DataOct24,3,0)*IncrPerc2024,VLOOKUP(M24,DataOct24,3,0)))</f>
        <v>1.6931790918246443</v>
      </c>
      <c r="P24" s="107"/>
      <c r="Q24" s="101" t="str">
        <f t="shared" ref="Q24:S26" si="8">L24</f>
        <v>Y</v>
      </c>
      <c r="R24" s="93" t="str">
        <f t="shared" si="8"/>
        <v>CSEWK1</v>
      </c>
      <c r="S24" s="93" t="str">
        <f t="shared" si="8"/>
        <v>TL-Sat/Sun1st Shift CSE</v>
      </c>
      <c r="T24" s="102">
        <f>ROUND(O24,3)</f>
        <v>1.6930000000000001</v>
      </c>
      <c r="U24" s="157"/>
    </row>
    <row r="25" spans="1:21" x14ac:dyDescent="0.4">
      <c r="A25" s="140" t="s">
        <v>82</v>
      </c>
      <c r="C25" s="96" t="str">
        <f>"For all hours worked on shifts that begin between 2:00 p.m. and 8:59 p.m., employees shall be paid a premium of "&amp;TEXT(O25,"$0.00")&amp;" per hour."</f>
        <v>For all hours worked on shifts that begin between 2:00 p.m. and 8:59 p.m., employees shall be paid a premium of $2.26 per hour.</v>
      </c>
      <c r="H25" s="79"/>
      <c r="L25" s="80" t="s">
        <v>206</v>
      </c>
      <c r="M25" s="80" t="s">
        <v>153</v>
      </c>
      <c r="N25" s="81" t="s">
        <v>154</v>
      </c>
      <c r="O25" s="100">
        <f t="shared" si="7"/>
        <v>2.2575721224328587</v>
      </c>
      <c r="P25" s="107"/>
      <c r="Q25" s="101" t="str">
        <f t="shared" si="8"/>
        <v>Y</v>
      </c>
      <c r="R25" s="93" t="str">
        <f t="shared" si="8"/>
        <v>CSEWK2</v>
      </c>
      <c r="S25" s="93" t="str">
        <f t="shared" si="8"/>
        <v>TL-Sat/Sun 2ndt Shift CSE</v>
      </c>
      <c r="T25" s="102">
        <f t="shared" ref="T25:T26" si="9">ROUND(O25,3)</f>
        <v>2.258</v>
      </c>
      <c r="U25" s="157"/>
    </row>
    <row r="26" spans="1:21" x14ac:dyDescent="0.4">
      <c r="A26" s="140" t="s">
        <v>209</v>
      </c>
      <c r="C26" s="96" t="str">
        <f>"For all hours worked on shifts that begin between 9:00 p.m. and 5:59 a.m., employees shall be paid a premium of "&amp;TEXT(O26,"$0.00")&amp;" per hour."</f>
        <v>For all hours worked on shifts that begin between 9:00 p.m. and 5:59 a.m., employees shall be paid a premium of $2.57 per hour.</v>
      </c>
      <c r="H26" s="79"/>
      <c r="L26" s="80" t="s">
        <v>206</v>
      </c>
      <c r="M26" s="80" t="s">
        <v>155</v>
      </c>
      <c r="N26" s="81" t="s">
        <v>156</v>
      </c>
      <c r="O26" s="100">
        <f t="shared" si="7"/>
        <v>2.5711238061040893</v>
      </c>
      <c r="P26" s="107"/>
      <c r="Q26" s="101" t="str">
        <f t="shared" si="8"/>
        <v>Y</v>
      </c>
      <c r="R26" s="93" t="str">
        <f t="shared" si="8"/>
        <v>CSEWK3</v>
      </c>
      <c r="S26" s="93" t="str">
        <f t="shared" si="8"/>
        <v>TL-Sat/Sun 3rd Shift CSE</v>
      </c>
      <c r="T26" s="102">
        <f t="shared" si="9"/>
        <v>2.5710000000000002</v>
      </c>
      <c r="U26" s="157"/>
    </row>
    <row r="27" spans="1:21" x14ac:dyDescent="0.4">
      <c r="A27" s="139" t="s">
        <v>84</v>
      </c>
      <c r="C27" s="109"/>
      <c r="H27" s="79"/>
      <c r="P27" s="107"/>
      <c r="R27" s="93"/>
      <c r="S27" s="93"/>
      <c r="T27" s="93"/>
      <c r="U27" s="157"/>
    </row>
    <row r="28" spans="1:21" x14ac:dyDescent="0.4">
      <c r="A28" s="96"/>
      <c r="C28" s="109"/>
      <c r="H28" s="79"/>
      <c r="P28" s="107"/>
      <c r="R28" s="93"/>
      <c r="S28" s="93"/>
      <c r="T28" s="93"/>
      <c r="U28" s="157"/>
    </row>
    <row r="29" spans="1:21" x14ac:dyDescent="0.4">
      <c r="A29" s="110" t="s">
        <v>85</v>
      </c>
      <c r="C29" s="109"/>
      <c r="H29" s="79"/>
      <c r="P29" s="107"/>
      <c r="R29" s="93"/>
      <c r="S29" s="93"/>
      <c r="T29" s="93"/>
      <c r="U29" s="157"/>
    </row>
    <row r="30" spans="1:21" ht="14.25" x14ac:dyDescent="0.45">
      <c r="A30" s="108" t="s">
        <v>210</v>
      </c>
      <c r="H30" s="79"/>
      <c r="K30" s="111"/>
      <c r="L30" s="112"/>
      <c r="P30" s="107"/>
      <c r="R30" s="93"/>
      <c r="S30" s="93"/>
      <c r="T30" s="93"/>
      <c r="U30" s="157"/>
    </row>
    <row r="31" spans="1:21" x14ac:dyDescent="0.4">
      <c r="A31" s="108" t="str">
        <f>"Maintenance Engineer I's &amp; II's, who are certified for EPA Universal CFC Refrigeration shall be paid "&amp;TEXT(O31,"$0.00")&amp;" per hour for all hours paid."</f>
        <v>Maintenance Engineer I's &amp; II's, who are certified for EPA Universal CFC Refrigeration shall be paid $1.00 per hour for all hours paid.</v>
      </c>
      <c r="B31" s="86"/>
      <c r="D31" s="86"/>
      <c r="G31" s="113"/>
      <c r="L31" s="80" t="s">
        <v>10</v>
      </c>
      <c r="M31" s="80" t="s">
        <v>157</v>
      </c>
      <c r="N31" s="81" t="s">
        <v>158</v>
      </c>
      <c r="O31" s="100">
        <f>(IF(L31="Y",VLOOKUP(M31,DataJan2024,3,0)*IncrPercJan2024,VLOOKUP(M31,DataJan2024,3,0)))</f>
        <v>1</v>
      </c>
      <c r="Q31" s="101" t="str">
        <f t="shared" ref="Q31:S31" si="10">L31</f>
        <v>N</v>
      </c>
      <c r="R31" s="93" t="str">
        <f t="shared" si="10"/>
        <v>CSEEPA</v>
      </c>
      <c r="S31" s="93" t="str">
        <f t="shared" si="10"/>
        <v>EPA Univ CFC Refrigeration</v>
      </c>
      <c r="T31" s="93">
        <f>ROUND(O31,2)</f>
        <v>1</v>
      </c>
      <c r="U31" s="157"/>
    </row>
    <row r="32" spans="1:21" x14ac:dyDescent="0.4">
      <c r="A32" s="108"/>
      <c r="B32" s="86"/>
      <c r="D32" s="86"/>
      <c r="G32" s="113"/>
      <c r="N32" s="114"/>
      <c r="O32" s="115"/>
      <c r="R32" s="93"/>
      <c r="S32" s="93"/>
      <c r="T32" s="93"/>
      <c r="U32" s="157"/>
    </row>
    <row r="33" spans="1:21" x14ac:dyDescent="0.4">
      <c r="A33" s="108" t="s">
        <v>211</v>
      </c>
      <c r="H33" s="79"/>
      <c r="K33" s="86"/>
      <c r="L33" s="116"/>
      <c r="R33" s="93"/>
      <c r="S33" s="93"/>
      <c r="T33" s="93"/>
      <c r="U33" s="157"/>
    </row>
    <row r="34" spans="1:21" x14ac:dyDescent="0.4">
      <c r="A34" s="108" t="s">
        <v>212</v>
      </c>
      <c r="R34" s="93"/>
      <c r="S34" s="93"/>
      <c r="T34" s="93"/>
      <c r="U34" s="157"/>
    </row>
    <row r="35" spans="1:21" x14ac:dyDescent="0.4">
      <c r="A35" s="117" t="str">
        <f>TEXT(O35,"$0.00")&amp;" per hour for all hours paid."</f>
        <v>$1.00 per hour for all hours paid.</v>
      </c>
      <c r="H35" s="79"/>
      <c r="L35" s="80" t="s">
        <v>10</v>
      </c>
      <c r="M35" s="80" t="s">
        <v>159</v>
      </c>
      <c r="N35" s="81" t="s">
        <v>160</v>
      </c>
      <c r="O35" s="100">
        <f>(IF(L35="Y",VLOOKUP(M35,DataJan2024,3,0)*IncrPercJan2024,VLOOKUP(M35,DataJan2024,3,0)))</f>
        <v>1</v>
      </c>
      <c r="Q35" s="101" t="str">
        <f t="shared" ref="Q35:S35" si="11">L35</f>
        <v>N</v>
      </c>
      <c r="R35" s="93" t="str">
        <f t="shared" si="11"/>
        <v>CSELME</v>
      </c>
      <c r="S35" s="93" t="str">
        <f t="shared" si="11"/>
        <v>Pow ltd lic/Lic Maint Elect</v>
      </c>
      <c r="T35" s="93">
        <f>ROUND(O35,2)</f>
        <v>1</v>
      </c>
      <c r="U35" s="157"/>
    </row>
    <row r="36" spans="1:21" x14ac:dyDescent="0.4">
      <c r="A36" s="118"/>
      <c r="H36" s="79"/>
      <c r="R36" s="93"/>
      <c r="S36" s="93"/>
      <c r="T36" s="93"/>
      <c r="U36" s="157"/>
    </row>
    <row r="37" spans="1:21" ht="12.75" customHeight="1" x14ac:dyDescent="0.4">
      <c r="A37" s="108" t="s">
        <v>213</v>
      </c>
      <c r="H37" s="79"/>
      <c r="K37" s="86"/>
      <c r="L37" s="116"/>
      <c r="R37" s="93"/>
      <c r="S37" s="93"/>
      <c r="T37" s="93"/>
      <c r="U37" s="157"/>
    </row>
    <row r="38" spans="1:21" ht="12.75" customHeight="1" x14ac:dyDescent="0.4">
      <c r="A38" s="108" t="str">
        <f>"as 'Gas Fitters' at the discretion of management. Designated Gas Fitters shall be paid a premium of "&amp;TEXT(O38,"$0.00")&amp;" per hour for all the hours performing work that requires the certificate."</f>
        <v>as 'Gas Fitters' at the discretion of management. Designated Gas Fitters shall be paid a premium of $1.00 per hour for all the hours performing work that requires the certificate.</v>
      </c>
      <c r="H38" s="79"/>
      <c r="K38" s="86"/>
      <c r="L38" s="80" t="s">
        <v>10</v>
      </c>
      <c r="M38" s="80" t="s">
        <v>161</v>
      </c>
      <c r="N38" s="81" t="s">
        <v>162</v>
      </c>
      <c r="O38" s="100">
        <f>(IF(L38="Y",VLOOKUP(M38,DataJan2024,3,0)*IncrPercJan2024,VLOOKUP(M38,DataJan2024,3,0)))</f>
        <v>1</v>
      </c>
      <c r="Q38" s="101" t="str">
        <f t="shared" ref="Q38:S38" si="12">L38</f>
        <v>N</v>
      </c>
      <c r="R38" s="93" t="str">
        <f t="shared" si="12"/>
        <v>CSEGAS</v>
      </c>
      <c r="S38" s="93" t="str">
        <f t="shared" si="12"/>
        <v>TL-Citys Gas Fitting-CSE</v>
      </c>
      <c r="T38" s="93">
        <f>ROUND(O38,2)</f>
        <v>1</v>
      </c>
      <c r="U38" s="157"/>
    </row>
    <row r="39" spans="1:21" ht="12.75" customHeight="1" x14ac:dyDescent="0.4">
      <c r="A39" s="108"/>
      <c r="G39" s="113"/>
      <c r="R39" s="93"/>
      <c r="S39" s="93"/>
      <c r="T39" s="93"/>
      <c r="U39" s="157"/>
    </row>
    <row r="40" spans="1:21" ht="12.75" customHeight="1" x14ac:dyDescent="0.4">
      <c r="A40" s="146" t="s">
        <v>214</v>
      </c>
      <c r="G40" s="113"/>
      <c r="R40" s="93"/>
      <c r="S40" s="93"/>
      <c r="T40" s="93"/>
      <c r="U40" s="157"/>
    </row>
    <row r="41" spans="1:21" ht="12.75" customHeight="1" x14ac:dyDescent="0.4">
      <c r="A41" s="146" t="str">
        <f>"Certification shall be paid "&amp;TEXT(O41,"$0.00")&amp;" per hour for all hours paid."</f>
        <v>Certification shall be paid $0.20 per hour for all hours paid.</v>
      </c>
      <c r="G41" s="113"/>
      <c r="L41" s="80" t="s">
        <v>10</v>
      </c>
      <c r="M41" s="80" t="s">
        <v>163</v>
      </c>
      <c r="N41" s="81" t="s">
        <v>164</v>
      </c>
      <c r="O41" s="100">
        <f>(IF(L41="Y",VLOOKUP(M41,DataJan2024,3,0)*IncrPercJan2024,VLOOKUP(M41,DataJan2024,3,0)))</f>
        <v>0.2</v>
      </c>
      <c r="Q41" s="101" t="str">
        <f t="shared" ref="Q41:S41" si="13">L41</f>
        <v>N</v>
      </c>
      <c r="R41" s="93" t="str">
        <f t="shared" si="13"/>
        <v>CSEABC</v>
      </c>
      <c r="S41" s="93" t="str">
        <f t="shared" si="13"/>
        <v>ABC Plant Mntc Tech Class 2</v>
      </c>
      <c r="T41" s="93">
        <f>ROUND(O41,2)</f>
        <v>0.2</v>
      </c>
      <c r="U41" s="157"/>
    </row>
    <row r="42" spans="1:21" ht="12.75" customHeight="1" x14ac:dyDescent="0.4">
      <c r="A42" s="96"/>
      <c r="H42" s="79"/>
      <c r="R42" s="93"/>
      <c r="S42" s="93"/>
      <c r="T42" s="93"/>
      <c r="U42" s="157"/>
    </row>
    <row r="43" spans="1:21" ht="12.75" customHeight="1" x14ac:dyDescent="0.4">
      <c r="A43" s="118" t="str">
        <f>"Up to a maximum of 3 certified and assigned Stationary Engineers in the Property Services Division may be paid a Fire Extinguisher"</f>
        <v>Up to a maximum of 3 certified and assigned Stationary Engineers in the Property Services Division may be paid a Fire Extinguisher</v>
      </c>
      <c r="G43" s="109"/>
      <c r="H43" s="120"/>
      <c r="L43" s="80" t="s">
        <v>10</v>
      </c>
      <c r="M43" s="80" t="s">
        <v>165</v>
      </c>
      <c r="N43" s="81" t="s">
        <v>166</v>
      </c>
      <c r="O43" s="100">
        <f>(IF(L43="Y",VLOOKUP(M43,DataJan2024,3,0)*IncrPercJan2024,VLOOKUP(M43,DataJan2024,3,0)))</f>
        <v>0.25</v>
      </c>
      <c r="Q43" s="101" t="str">
        <f t="shared" ref="Q43:S43" si="14">L43</f>
        <v>N</v>
      </c>
      <c r="R43" s="93" t="str">
        <f t="shared" si="14"/>
        <v>CSEFEX</v>
      </c>
      <c r="S43" s="93" t="str">
        <f t="shared" si="14"/>
        <v>Fire Extinguisher Spec-Cert</v>
      </c>
      <c r="T43" s="93">
        <f>ROUND(O43,2)</f>
        <v>0.25</v>
      </c>
      <c r="U43" s="157"/>
    </row>
    <row r="44" spans="1:21" ht="12.75" customHeight="1" x14ac:dyDescent="0.4">
      <c r="A44" s="118" t="str">
        <f>"Certification Premium of "&amp;TEXT(O43,"$0.00")&amp;" for all hours paid."</f>
        <v>Certification Premium of $0.25 for all hours paid.</v>
      </c>
      <c r="G44" s="109"/>
      <c r="H44" s="120"/>
      <c r="R44" s="93"/>
      <c r="S44" s="93"/>
      <c r="T44" s="93"/>
      <c r="U44" s="157"/>
    </row>
    <row r="45" spans="1:21" ht="12.75" customHeight="1" x14ac:dyDescent="0.4">
      <c r="A45" s="121"/>
      <c r="G45" s="109"/>
      <c r="H45" s="120"/>
      <c r="R45" s="93"/>
      <c r="S45" s="93"/>
      <c r="T45" s="93"/>
      <c r="U45" s="157"/>
    </row>
    <row r="46" spans="1:21" ht="12.75" customHeight="1" x14ac:dyDescent="0.4">
      <c r="A46" s="118" t="str">
        <f>"A qualified Water Maintenance Technician designated as Chief Engineer is eligible to receive a premium of "&amp;TEXT(O46,"$0.00")&amp;" per hour for all hours paid."</f>
        <v>A qualified Water Maintenance Technician designated as Chief Engineer is eligible to receive a premium of $3.00 per hour for all hours paid.</v>
      </c>
      <c r="B46" s="159"/>
      <c r="G46" s="109"/>
      <c r="H46" s="120"/>
      <c r="L46" s="80" t="s">
        <v>10</v>
      </c>
      <c r="M46" s="80" t="s">
        <v>215</v>
      </c>
      <c r="N46" s="81" t="s">
        <v>216</v>
      </c>
      <c r="O46" s="153">
        <v>3</v>
      </c>
      <c r="Q46" s="101" t="str">
        <f t="shared" ref="Q46:S46" si="15">L46</f>
        <v>N</v>
      </c>
      <c r="R46" s="93" t="str">
        <f t="shared" si="15"/>
        <v>CSECHE</v>
      </c>
      <c r="S46" s="93" t="str">
        <f t="shared" si="15"/>
        <v>Chief Engineer Prem</v>
      </c>
      <c r="T46" s="93">
        <f>ROUND(O46,2)</f>
        <v>3</v>
      </c>
      <c r="U46" s="157"/>
    </row>
    <row r="47" spans="1:21" ht="15.4" x14ac:dyDescent="0.4">
      <c r="A47" s="118" t="str">
        <f>"Employees training Maintenance Engineer Assistants shall receive a "&amp;TEXT(O47,"$4.00")&amp;" per hour for all hours spent training."</f>
        <v>Employees training Maintenance Engineer Assistants shall receive a $4.00 per hour for all hours spent training.</v>
      </c>
      <c r="B47" s="158"/>
      <c r="D47" s="122"/>
      <c r="H47" s="79"/>
      <c r="R47" s="93"/>
      <c r="S47" s="93"/>
      <c r="T47" s="93"/>
      <c r="U47" s="157"/>
    </row>
    <row r="48" spans="1:21" ht="15.4" x14ac:dyDescent="0.4">
      <c r="A48" s="118"/>
      <c r="B48" s="158"/>
      <c r="D48" s="122"/>
      <c r="H48" s="79"/>
      <c r="R48" s="93"/>
      <c r="S48" s="93"/>
      <c r="T48" s="93"/>
      <c r="U48" s="157"/>
    </row>
    <row r="49" spans="1:21" x14ac:dyDescent="0.4">
      <c r="A49" s="110" t="s">
        <v>56</v>
      </c>
      <c r="H49" s="79"/>
      <c r="L49" s="154" t="s">
        <v>10</v>
      </c>
      <c r="M49" s="154"/>
      <c r="N49" s="155" t="s">
        <v>260</v>
      </c>
      <c r="O49" s="156">
        <v>4</v>
      </c>
      <c r="Q49" s="154" t="s">
        <v>10</v>
      </c>
      <c r="R49" s="154"/>
      <c r="S49" s="155" t="s">
        <v>260</v>
      </c>
      <c r="T49" s="156">
        <v>4</v>
      </c>
      <c r="U49" s="157"/>
    </row>
    <row r="50" spans="1:21" x14ac:dyDescent="0.4">
      <c r="A50" s="96" t="s">
        <v>217</v>
      </c>
      <c r="H50" s="79"/>
      <c r="R50" s="93"/>
      <c r="S50" s="93"/>
      <c r="T50" s="93"/>
      <c r="U50" s="157"/>
    </row>
    <row r="51" spans="1:21" x14ac:dyDescent="0.4">
      <c r="A51" s="97">
        <f>O51</f>
        <v>0.4431864917682638</v>
      </c>
      <c r="B51" s="123" t="s">
        <v>59</v>
      </c>
      <c r="H51" s="79"/>
      <c r="L51" s="80" t="s">
        <v>206</v>
      </c>
      <c r="M51" s="80" t="s">
        <v>167</v>
      </c>
      <c r="O51" s="100">
        <f t="shared" ref="O51:O53" si="16">(IF(L51="Y",VLOOKUP(M51,DataOct24,3,0)*IncrPerc2024,VLOOKUP(M51,DataOct24,3,0)))</f>
        <v>0.4431864917682638</v>
      </c>
      <c r="Q51" s="101" t="str">
        <f>L51</f>
        <v>Y</v>
      </c>
      <c r="R51" s="93" t="str">
        <f>M51</f>
        <v>10th</v>
      </c>
      <c r="S51" s="93">
        <f>N51</f>
        <v>0</v>
      </c>
      <c r="T51" s="93">
        <f>ROUND(O51,3)</f>
        <v>0.443</v>
      </c>
      <c r="U51" s="157"/>
    </row>
    <row r="52" spans="1:21" x14ac:dyDescent="0.4">
      <c r="A52" s="97">
        <f t="shared" ref="A52:A54" si="17">O52</f>
        <v>0.53785401610228178</v>
      </c>
      <c r="B52" s="123" t="s">
        <v>60</v>
      </c>
      <c r="H52" s="79"/>
      <c r="L52" s="80" t="s">
        <v>206</v>
      </c>
      <c r="M52" s="80" t="s">
        <v>168</v>
      </c>
      <c r="O52" s="100">
        <f t="shared" si="16"/>
        <v>0.53785401610228178</v>
      </c>
      <c r="Q52" s="101" t="str">
        <f t="shared" ref="Q52:S54" si="18">L52</f>
        <v>Y</v>
      </c>
      <c r="R52" s="93" t="str">
        <f t="shared" si="18"/>
        <v>15th</v>
      </c>
      <c r="S52" s="93">
        <f t="shared" si="18"/>
        <v>0</v>
      </c>
      <c r="T52" s="93">
        <f t="shared" ref="T52:T54" si="19">ROUND(O52,3)</f>
        <v>0.53800000000000003</v>
      </c>
      <c r="U52" s="157"/>
    </row>
    <row r="53" spans="1:21" x14ac:dyDescent="0.4">
      <c r="A53" s="97">
        <f t="shared" si="17"/>
        <v>0.63763870391381394</v>
      </c>
      <c r="B53" s="123" t="s">
        <v>61</v>
      </c>
      <c r="H53" s="79"/>
      <c r="L53" s="80" t="s">
        <v>206</v>
      </c>
      <c r="M53" s="80" t="s">
        <v>169</v>
      </c>
      <c r="O53" s="100">
        <f t="shared" si="16"/>
        <v>0.63763870391381394</v>
      </c>
      <c r="Q53" s="101" t="str">
        <f t="shared" si="18"/>
        <v>Y</v>
      </c>
      <c r="R53" s="93" t="str">
        <f t="shared" si="18"/>
        <v>20th</v>
      </c>
      <c r="S53" s="93">
        <f t="shared" si="18"/>
        <v>0</v>
      </c>
      <c r="T53" s="93">
        <f t="shared" si="19"/>
        <v>0.63800000000000001</v>
      </c>
      <c r="U53" s="157"/>
    </row>
    <row r="54" spans="1:21" x14ac:dyDescent="0.4">
      <c r="A54" s="97">
        <f t="shared" si="17"/>
        <v>0.77600000000000002</v>
      </c>
      <c r="B54" s="123" t="s">
        <v>62</v>
      </c>
      <c r="C54" s="124"/>
      <c r="D54" s="124"/>
      <c r="H54" s="79"/>
      <c r="L54" s="80" t="s">
        <v>206</v>
      </c>
      <c r="M54" s="80" t="s">
        <v>170</v>
      </c>
      <c r="O54" s="100">
        <v>0.77600000000000002</v>
      </c>
      <c r="Q54" s="101" t="str">
        <f t="shared" si="18"/>
        <v>Y</v>
      </c>
      <c r="R54" s="93" t="str">
        <f t="shared" si="18"/>
        <v>25th</v>
      </c>
      <c r="S54" s="93">
        <f t="shared" si="18"/>
        <v>0</v>
      </c>
      <c r="T54" s="93">
        <f t="shared" si="19"/>
        <v>0.77600000000000002</v>
      </c>
      <c r="U54" s="157"/>
    </row>
    <row r="55" spans="1:21" x14ac:dyDescent="0.4">
      <c r="A55" s="125"/>
      <c r="B55" s="124"/>
      <c r="C55" s="124"/>
      <c r="D55" s="124"/>
      <c r="H55" s="79"/>
      <c r="R55" s="93"/>
      <c r="S55" s="93"/>
      <c r="T55" s="93"/>
      <c r="U55" s="157"/>
    </row>
    <row r="56" spans="1:21" x14ac:dyDescent="0.4">
      <c r="A56" s="126" t="s">
        <v>63</v>
      </c>
      <c r="B56" s="86"/>
      <c r="C56" s="86"/>
      <c r="D56" s="86"/>
      <c r="H56" s="79"/>
      <c r="J56" s="86"/>
      <c r="K56" s="86"/>
      <c r="L56" s="116" t="s">
        <v>206</v>
      </c>
      <c r="M56" s="116"/>
      <c r="R56" s="93"/>
      <c r="S56" s="93"/>
      <c r="T56" s="93"/>
      <c r="U56" s="157"/>
    </row>
    <row r="57" spans="1:21" x14ac:dyDescent="0.4">
      <c r="A57" s="78" t="s">
        <v>64</v>
      </c>
      <c r="H57" s="79"/>
      <c r="R57" s="93"/>
      <c r="S57" s="93"/>
      <c r="T57" s="93"/>
      <c r="U57" s="157"/>
    </row>
    <row r="58" spans="1:21" x14ac:dyDescent="0.4">
      <c r="A58" s="118" t="str">
        <f>TEXT(O58,"$0.00")&amp;" for each weekday the employee is on on-call"</f>
        <v>$45.00 for each weekday the employee is on on-call</v>
      </c>
      <c r="H58" s="79"/>
      <c r="K58" s="78" t="s">
        <v>250</v>
      </c>
      <c r="L58" s="80" t="s">
        <v>10</v>
      </c>
      <c r="M58" s="127" t="s">
        <v>171</v>
      </c>
      <c r="N58" s="81" t="s">
        <v>172</v>
      </c>
      <c r="O58" s="153">
        <v>45</v>
      </c>
      <c r="Q58" s="101" t="str">
        <f t="shared" ref="Q58:S59" si="20">L58</f>
        <v>N</v>
      </c>
      <c r="R58" s="93" t="str">
        <f t="shared" si="20"/>
        <v>CSECDY</v>
      </c>
      <c r="S58" s="93" t="str">
        <f t="shared" si="20"/>
        <v>TL-On call by the day-CSE</v>
      </c>
      <c r="T58" s="93">
        <f t="shared" ref="T58:T59" si="21">ROUND(O58,2)</f>
        <v>45</v>
      </c>
      <c r="U58" s="157"/>
    </row>
    <row r="59" spans="1:21" x14ac:dyDescent="0.4">
      <c r="A59" s="118" t="str">
        <f>TEXT(O59,"$0.00")&amp;" for each weekend day (Saturday or Sunday) or holiday the employee is on-call"</f>
        <v>$55.00 for each weekend day (Saturday or Sunday) or holiday the employee is on-call</v>
      </c>
      <c r="H59" s="79"/>
      <c r="K59" s="78" t="s">
        <v>250</v>
      </c>
      <c r="L59" s="80" t="s">
        <v>10</v>
      </c>
      <c r="M59" s="80" t="s">
        <v>173</v>
      </c>
      <c r="N59" s="81" t="s">
        <v>174</v>
      </c>
      <c r="O59" s="153">
        <v>55</v>
      </c>
      <c r="Q59" s="101" t="str">
        <f t="shared" si="20"/>
        <v>N</v>
      </c>
      <c r="R59" s="93" t="str">
        <f t="shared" si="20"/>
        <v>CSECWE</v>
      </c>
      <c r="S59" s="93" t="str">
        <f t="shared" si="20"/>
        <v>TL-On call by day Weekend-CSE</v>
      </c>
      <c r="T59" s="93">
        <f t="shared" si="21"/>
        <v>55</v>
      </c>
      <c r="U59" s="157"/>
    </row>
    <row r="60" spans="1:21" x14ac:dyDescent="0.4">
      <c r="A60" s="118" t="s">
        <v>67</v>
      </c>
      <c r="H60" s="79"/>
      <c r="R60" s="93"/>
      <c r="S60" s="93"/>
      <c r="T60" s="93"/>
      <c r="U60" s="157"/>
    </row>
    <row r="61" spans="1:21" x14ac:dyDescent="0.4">
      <c r="A61" s="118" t="s">
        <v>68</v>
      </c>
      <c r="H61" s="79"/>
      <c r="R61" s="93"/>
      <c r="S61" s="93"/>
      <c r="T61" s="93"/>
      <c r="U61" s="157"/>
    </row>
    <row r="62" spans="1:21" x14ac:dyDescent="0.4">
      <c r="R62" s="93"/>
      <c r="S62" s="93"/>
      <c r="T62" s="93"/>
      <c r="U62" s="157"/>
    </row>
    <row r="63" spans="1:21" x14ac:dyDescent="0.4">
      <c r="A63" s="126" t="s">
        <v>218</v>
      </c>
      <c r="R63" s="93"/>
      <c r="S63" s="93"/>
      <c r="T63" s="93"/>
      <c r="U63" s="157"/>
    </row>
    <row r="64" spans="1:21" x14ac:dyDescent="0.4">
      <c r="A64" s="78" t="s">
        <v>219</v>
      </c>
      <c r="R64" s="93"/>
      <c r="S64" s="93"/>
      <c r="T64" s="93"/>
      <c r="U64" s="157"/>
    </row>
    <row r="65" spans="1:21" x14ac:dyDescent="0.4">
      <c r="A65" s="78" t="s">
        <v>220</v>
      </c>
      <c r="N65" s="80"/>
      <c r="O65" s="80"/>
      <c r="R65" s="93"/>
      <c r="S65" s="93"/>
      <c r="T65" s="93"/>
      <c r="U65" s="157"/>
    </row>
    <row r="66" spans="1:21" x14ac:dyDescent="0.4">
      <c r="A66" s="78" t="s">
        <v>221</v>
      </c>
      <c r="L66" s="80" t="s">
        <v>206</v>
      </c>
      <c r="M66" s="80" t="s">
        <v>131</v>
      </c>
      <c r="N66" s="81" t="s">
        <v>132</v>
      </c>
      <c r="O66" s="100">
        <f t="shared" ref="O66:O68" si="22">(IF(L66="Y",VLOOKUP(M66,DataOct24,3,0)*IncrPerc2024,VLOOKUP(M66,DataOct24,3,0)))</f>
        <v>3.7036049192999996</v>
      </c>
      <c r="Q66" s="101" t="str">
        <f t="shared" ref="Q66:S68" si="23">L66</f>
        <v>Y</v>
      </c>
      <c r="R66" s="93" t="str">
        <f t="shared" si="23"/>
        <v>CSEW1P</v>
      </c>
      <c r="S66" s="93" t="str">
        <f t="shared" si="23"/>
        <v>Sat/Sun 1st Shft + AM/EVE Shft</v>
      </c>
      <c r="T66" s="93">
        <f t="shared" ref="T66:T68" si="24">ROUND(O66,2)</f>
        <v>3.7</v>
      </c>
      <c r="U66" s="157"/>
    </row>
    <row r="67" spans="1:21" x14ac:dyDescent="0.4">
      <c r="L67" s="80" t="s">
        <v>206</v>
      </c>
      <c r="M67" s="80" t="s">
        <v>133</v>
      </c>
      <c r="N67" s="81" t="s">
        <v>134</v>
      </c>
      <c r="O67" s="100">
        <f t="shared" si="22"/>
        <v>4.2626396240999993</v>
      </c>
      <c r="Q67" s="101" t="str">
        <f t="shared" si="23"/>
        <v>Y</v>
      </c>
      <c r="R67" s="93" t="str">
        <f t="shared" si="23"/>
        <v>CSEW2P</v>
      </c>
      <c r="S67" s="93" t="str">
        <f t="shared" si="23"/>
        <v>Sat/Sun 2nd Shft + AM/EVE Shft</v>
      </c>
      <c r="T67" s="93">
        <f t="shared" si="24"/>
        <v>4.26</v>
      </c>
      <c r="U67" s="157"/>
    </row>
    <row r="68" spans="1:21" x14ac:dyDescent="0.4">
      <c r="L68" s="80" t="s">
        <v>206</v>
      </c>
      <c r="M68" s="80" t="s">
        <v>135</v>
      </c>
      <c r="N68" s="81" t="s">
        <v>136</v>
      </c>
      <c r="O68" s="100">
        <f t="shared" si="22"/>
        <v>4.5770966455499993</v>
      </c>
      <c r="Q68" s="101" t="str">
        <f t="shared" si="23"/>
        <v>Y</v>
      </c>
      <c r="R68" s="93" t="str">
        <f t="shared" si="23"/>
        <v>CSEW3P</v>
      </c>
      <c r="S68" s="93" t="str">
        <f t="shared" si="23"/>
        <v>Sat/Sun 3rd Shft + AM/EVE Shft</v>
      </c>
      <c r="T68" s="93">
        <f t="shared" si="24"/>
        <v>4.58</v>
      </c>
      <c r="U68" s="157"/>
    </row>
  </sheetData>
  <sheetProtection sheet="1" objects="1" scenarios="1"/>
  <mergeCells count="1">
    <mergeCell ref="A3:C3"/>
  </mergeCells>
  <pageMargins left="0.2" right="0.2" top="0.75" bottom="0.75" header="0.3" footer="0.3"/>
  <pageSetup fitToHeight="0" orientation="landscape" r:id="rId1"/>
  <headerFooter alignWithMargins="0">
    <oddFooter>&amp;L&amp;8Last Updated:  &amp;D&amp;R&amp;8Page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A9F5A-5554-4384-B53F-D707C370CFB7}">
  <sheetPr>
    <pageSetUpPr fitToPage="1"/>
  </sheetPr>
  <dimension ref="A1:U67"/>
  <sheetViews>
    <sheetView showGridLines="0" tabSelected="1" workbookViewId="0">
      <selection activeCell="J13" sqref="J1:U1048576"/>
    </sheetView>
  </sheetViews>
  <sheetFormatPr defaultColWidth="9.1328125" defaultRowHeight="13.15" x14ac:dyDescent="0.4"/>
  <cols>
    <col min="1" max="1" width="9.1328125" style="78" customWidth="1"/>
    <col min="2" max="2" width="8.86328125" style="78" customWidth="1"/>
    <col min="3" max="3" width="12.59765625" style="78" customWidth="1"/>
    <col min="4" max="4" width="57.73046875" style="78" bestFit="1" customWidth="1"/>
    <col min="5" max="5" width="6.1328125" style="78" customWidth="1"/>
    <col min="6" max="6" width="7.1328125" style="78" customWidth="1"/>
    <col min="7" max="7" width="8.265625" style="78" customWidth="1"/>
    <col min="8" max="8" width="7.3984375" style="78" bestFit="1" customWidth="1"/>
    <col min="9" max="9" width="22.1328125" style="78" customWidth="1"/>
    <col min="10" max="10" width="11.59765625" style="78" hidden="1" customWidth="1"/>
    <col min="11" max="11" width="7.265625" style="78" hidden="1" customWidth="1"/>
    <col min="12" max="12" width="16.265625" style="80" hidden="1" customWidth="1"/>
    <col min="13" max="13" width="7.3984375" style="80" hidden="1" customWidth="1"/>
    <col min="14" max="14" width="25.86328125" style="81" hidden="1" customWidth="1"/>
    <col min="15" max="15" width="7.73046875" style="84" hidden="1" customWidth="1"/>
    <col min="16" max="16" width="6.1328125" style="78" hidden="1" customWidth="1"/>
    <col min="17" max="17" width="11" style="83" hidden="1" customWidth="1"/>
    <col min="18" max="18" width="7.3984375" style="83" hidden="1" customWidth="1"/>
    <col min="19" max="19" width="25.86328125" style="83" hidden="1" customWidth="1"/>
    <col min="20" max="20" width="7.3984375" style="83" hidden="1" customWidth="1"/>
    <col min="21" max="21" width="9.1328125" style="78" hidden="1" customWidth="1"/>
    <col min="22" max="23" width="9.1328125" style="78" customWidth="1"/>
    <col min="24" max="16384" width="9.1328125" style="78"/>
  </cols>
  <sheetData>
    <row r="1" spans="1:21" ht="15.75" x14ac:dyDescent="0.5">
      <c r="A1" s="147" t="s">
        <v>191</v>
      </c>
    </row>
    <row r="2" spans="1:21" ht="15.75" x14ac:dyDescent="0.5">
      <c r="A2" s="77" t="s">
        <v>192</v>
      </c>
      <c r="I2" s="79"/>
      <c r="N2" s="81" t="s">
        <v>252</v>
      </c>
      <c r="O2" s="82">
        <v>1.03</v>
      </c>
    </row>
    <row r="3" spans="1:21" x14ac:dyDescent="0.4">
      <c r="A3" s="165" t="s">
        <v>255</v>
      </c>
      <c r="B3" s="165"/>
      <c r="C3" s="165"/>
      <c r="H3" s="79"/>
    </row>
    <row r="4" spans="1:21" x14ac:dyDescent="0.4">
      <c r="A4" s="85" t="s">
        <v>258</v>
      </c>
      <c r="B4" s="151"/>
      <c r="C4" s="151"/>
      <c r="H4" s="79"/>
    </row>
    <row r="5" spans="1:21" x14ac:dyDescent="0.4">
      <c r="A5" s="96" t="s">
        <v>256</v>
      </c>
      <c r="B5" s="151"/>
      <c r="C5" s="151"/>
      <c r="H5" s="79"/>
    </row>
    <row r="6" spans="1:21" x14ac:dyDescent="0.4">
      <c r="H6" s="79"/>
      <c r="I6" s="86"/>
      <c r="J6" s="86"/>
      <c r="L6" s="80" t="s">
        <v>197</v>
      </c>
      <c r="Q6" s="83" t="s">
        <v>198</v>
      </c>
    </row>
    <row r="7" spans="1:21" ht="26.25" x14ac:dyDescent="0.4">
      <c r="A7" s="87" t="s">
        <v>199</v>
      </c>
      <c r="B7" s="87" t="s">
        <v>200</v>
      </c>
      <c r="C7" s="87" t="s">
        <v>201</v>
      </c>
      <c r="D7" s="88" t="s">
        <v>5</v>
      </c>
      <c r="E7" s="89" t="s">
        <v>202</v>
      </c>
      <c r="F7" s="87" t="s">
        <v>203</v>
      </c>
      <c r="G7" s="87" t="s">
        <v>204</v>
      </c>
      <c r="H7" s="89" t="s">
        <v>117</v>
      </c>
      <c r="L7" s="80" t="s">
        <v>205</v>
      </c>
      <c r="M7" s="90" t="s">
        <v>140</v>
      </c>
      <c r="N7" s="81" t="s">
        <v>141</v>
      </c>
      <c r="O7" s="84" t="s">
        <v>142</v>
      </c>
      <c r="Q7" s="83" t="s">
        <v>205</v>
      </c>
      <c r="R7" s="91" t="s">
        <v>140</v>
      </c>
      <c r="S7" s="92" t="s">
        <v>141</v>
      </c>
      <c r="T7" s="93" t="s">
        <v>142</v>
      </c>
    </row>
    <row r="8" spans="1:21" x14ac:dyDescent="0.4">
      <c r="A8" s="94" t="s">
        <v>118</v>
      </c>
      <c r="B8" s="95" t="s">
        <v>228</v>
      </c>
      <c r="C8" s="94" t="s">
        <v>229</v>
      </c>
      <c r="D8" s="96" t="s">
        <v>230</v>
      </c>
      <c r="E8" s="94">
        <v>168</v>
      </c>
      <c r="F8" s="94">
        <v>3</v>
      </c>
      <c r="G8" s="94" t="s">
        <v>13</v>
      </c>
      <c r="H8" s="97">
        <f>O8</f>
        <v>35.174994400000003</v>
      </c>
      <c r="I8" s="152"/>
      <c r="L8" s="80" t="s">
        <v>206</v>
      </c>
      <c r="M8" s="99" t="str">
        <f>C8</f>
        <v>59476C</v>
      </c>
      <c r="N8" s="81" t="s">
        <v>228</v>
      </c>
      <c r="O8" s="100">
        <f t="shared" ref="O8:O58" si="0">(IF(L8="Y",VLOOKUP(M8,DataOct25,3,0)*IncrPerc2024,VLOOKUP(M8,DataOct25,3,0)))</f>
        <v>35.174994400000003</v>
      </c>
      <c r="Q8" s="101" t="str">
        <f t="shared" ref="Q8:S14" si="1">L8</f>
        <v>Y</v>
      </c>
      <c r="R8" s="101" t="str">
        <f t="shared" si="1"/>
        <v>59476C</v>
      </c>
      <c r="S8" s="92" t="str">
        <f t="shared" si="1"/>
        <v>11</v>
      </c>
      <c r="T8" s="102">
        <f>ROUND(O8,3)</f>
        <v>35.174999999999997</v>
      </c>
      <c r="U8" s="157">
        <f>IFERROR(T8/'October 1, 2025'!T8,"")</f>
        <v>1.0300146412884335</v>
      </c>
    </row>
    <row r="9" spans="1:21" x14ac:dyDescent="0.4">
      <c r="A9" s="94" t="s">
        <v>118</v>
      </c>
      <c r="B9" s="95" t="s">
        <v>119</v>
      </c>
      <c r="C9" s="94" t="s">
        <v>11</v>
      </c>
      <c r="D9" s="96" t="s">
        <v>177</v>
      </c>
      <c r="E9" s="94">
        <v>280</v>
      </c>
      <c r="F9" s="94">
        <v>6</v>
      </c>
      <c r="G9" s="94" t="s">
        <v>13</v>
      </c>
      <c r="H9" s="97">
        <f>O9</f>
        <v>39.887722732000007</v>
      </c>
      <c r="I9" s="152"/>
      <c r="L9" s="80" t="s">
        <v>206</v>
      </c>
      <c r="M9" s="99" t="str">
        <f t="shared" ref="M9:M14" si="2">C9</f>
        <v>07300C</v>
      </c>
      <c r="N9" s="81" t="s">
        <v>119</v>
      </c>
      <c r="O9" s="100">
        <f t="shared" si="0"/>
        <v>39.887722732000007</v>
      </c>
      <c r="Q9" s="101" t="str">
        <f t="shared" si="1"/>
        <v>Y</v>
      </c>
      <c r="R9" s="101" t="str">
        <f t="shared" si="1"/>
        <v>07300C</v>
      </c>
      <c r="S9" s="92" t="str">
        <f t="shared" si="1"/>
        <v>03</v>
      </c>
      <c r="T9" s="102">
        <f>ROUND(O9,3)</f>
        <v>39.887999999999998</v>
      </c>
      <c r="U9" s="157">
        <f>IFERROR(T9/'October 1, 2025'!T9,"")</f>
        <v>1.0300056809378713</v>
      </c>
    </row>
    <row r="10" spans="1:21" x14ac:dyDescent="0.4">
      <c r="A10" s="94" t="s">
        <v>118</v>
      </c>
      <c r="B10" s="95" t="s">
        <v>121</v>
      </c>
      <c r="C10" s="94" t="s">
        <v>144</v>
      </c>
      <c r="D10" s="96" t="s">
        <v>178</v>
      </c>
      <c r="E10" s="94">
        <v>335</v>
      </c>
      <c r="F10" s="94">
        <v>7</v>
      </c>
      <c r="G10" s="94" t="s">
        <v>13</v>
      </c>
      <c r="H10" s="97">
        <f t="shared" ref="H10:H14" si="3">O10</f>
        <v>43.133994332</v>
      </c>
      <c r="I10" s="152"/>
      <c r="L10" s="80" t="s">
        <v>206</v>
      </c>
      <c r="M10" s="99" t="str">
        <f t="shared" si="2"/>
        <v>59400C</v>
      </c>
      <c r="N10" s="81" t="s">
        <v>121</v>
      </c>
      <c r="O10" s="100">
        <f t="shared" si="0"/>
        <v>43.133994332</v>
      </c>
      <c r="Q10" s="101" t="str">
        <f t="shared" si="1"/>
        <v>Y</v>
      </c>
      <c r="R10" s="101" t="str">
        <f t="shared" si="1"/>
        <v>59400C</v>
      </c>
      <c r="S10" s="92" t="str">
        <f t="shared" si="1"/>
        <v>08</v>
      </c>
      <c r="T10" s="102">
        <f t="shared" ref="T10:T14" si="4">ROUND(O10,3)</f>
        <v>43.134</v>
      </c>
      <c r="U10" s="157">
        <f>IFERROR(T10/'October 1, 2025'!T10,"")</f>
        <v>1.0299918811786619</v>
      </c>
    </row>
    <row r="11" spans="1:21" x14ac:dyDescent="0.4">
      <c r="A11" s="94" t="s">
        <v>118</v>
      </c>
      <c r="B11" s="95" t="s">
        <v>120</v>
      </c>
      <c r="C11" s="94" t="s">
        <v>18</v>
      </c>
      <c r="D11" s="96" t="s">
        <v>19</v>
      </c>
      <c r="E11" s="94">
        <v>193</v>
      </c>
      <c r="F11" s="94">
        <v>4</v>
      </c>
      <c r="G11" s="94" t="s">
        <v>13</v>
      </c>
      <c r="H11" s="97">
        <f t="shared" si="3"/>
        <v>38.220930176000003</v>
      </c>
      <c r="I11" s="152"/>
      <c r="L11" s="80" t="s">
        <v>206</v>
      </c>
      <c r="M11" s="99" t="str">
        <f>C11</f>
        <v>09330C</v>
      </c>
      <c r="N11" s="81" t="s">
        <v>120</v>
      </c>
      <c r="O11" s="100">
        <f t="shared" si="0"/>
        <v>38.220930176000003</v>
      </c>
      <c r="Q11" s="101" t="str">
        <f t="shared" si="1"/>
        <v>Y</v>
      </c>
      <c r="R11" s="101" t="str">
        <f t="shared" si="1"/>
        <v>09330C</v>
      </c>
      <c r="S11" s="92" t="str">
        <f t="shared" si="1"/>
        <v>02</v>
      </c>
      <c r="T11" s="102">
        <f t="shared" si="4"/>
        <v>38.220999999999997</v>
      </c>
      <c r="U11" s="157">
        <f>IFERROR(T11/'October 1, 2025'!T11,"")</f>
        <v>1.0299935323919371</v>
      </c>
    </row>
    <row r="12" spans="1:21" x14ac:dyDescent="0.4">
      <c r="A12" s="94" t="s">
        <v>118</v>
      </c>
      <c r="B12" s="95" t="s">
        <v>119</v>
      </c>
      <c r="C12" s="94" t="s">
        <v>20</v>
      </c>
      <c r="D12" s="96" t="s">
        <v>21</v>
      </c>
      <c r="E12" s="94">
        <v>273</v>
      </c>
      <c r="F12" s="94">
        <v>6</v>
      </c>
      <c r="G12" s="94" t="s">
        <v>13</v>
      </c>
      <c r="H12" s="97">
        <f t="shared" si="3"/>
        <v>39.887722732000007</v>
      </c>
      <c r="I12" s="152"/>
      <c r="L12" s="80" t="s">
        <v>206</v>
      </c>
      <c r="M12" s="99" t="str">
        <f t="shared" si="2"/>
        <v>09340C</v>
      </c>
      <c r="N12" s="81" t="s">
        <v>119</v>
      </c>
      <c r="O12" s="100">
        <f t="shared" si="0"/>
        <v>39.887722732000007</v>
      </c>
      <c r="Q12" s="101" t="str">
        <f t="shared" si="1"/>
        <v>Y</v>
      </c>
      <c r="R12" s="101" t="str">
        <f t="shared" si="1"/>
        <v>09340C</v>
      </c>
      <c r="S12" s="92" t="str">
        <f t="shared" si="1"/>
        <v>03</v>
      </c>
      <c r="T12" s="102">
        <f t="shared" si="4"/>
        <v>39.887999999999998</v>
      </c>
      <c r="U12" s="157">
        <f>IFERROR(T12/'October 1, 2025'!T12,"")</f>
        <v>1.0300056809378713</v>
      </c>
    </row>
    <row r="13" spans="1:21" x14ac:dyDescent="0.4">
      <c r="A13" s="94" t="s">
        <v>118</v>
      </c>
      <c r="B13" s="95" t="s">
        <v>121</v>
      </c>
      <c r="C13" s="94" t="s">
        <v>72</v>
      </c>
      <c r="D13" s="96" t="s">
        <v>98</v>
      </c>
      <c r="E13" s="94">
        <v>335</v>
      </c>
      <c r="F13" s="94">
        <v>7</v>
      </c>
      <c r="G13" s="94" t="s">
        <v>13</v>
      </c>
      <c r="H13" s="97">
        <f t="shared" si="3"/>
        <v>43.134532374431828</v>
      </c>
      <c r="I13" s="152"/>
      <c r="L13" s="80" t="s">
        <v>206</v>
      </c>
      <c r="M13" s="99" t="str">
        <f t="shared" si="2"/>
        <v>09345C</v>
      </c>
      <c r="N13" s="81" t="s">
        <v>121</v>
      </c>
      <c r="O13" s="100">
        <f t="shared" si="0"/>
        <v>43.134532374431828</v>
      </c>
      <c r="Q13" s="101" t="str">
        <f t="shared" si="1"/>
        <v>Y</v>
      </c>
      <c r="R13" s="101" t="str">
        <f t="shared" si="1"/>
        <v>09345C</v>
      </c>
      <c r="S13" s="92" t="str">
        <f t="shared" si="1"/>
        <v>08</v>
      </c>
      <c r="T13" s="102">
        <f t="shared" si="4"/>
        <v>43.134999999999998</v>
      </c>
      <c r="U13" s="157">
        <f>IFERROR(T13/'October 1, 2025'!T13,"")</f>
        <v>1.0300157600649504</v>
      </c>
    </row>
    <row r="14" spans="1:21" x14ac:dyDescent="0.4">
      <c r="A14" s="94" t="s">
        <v>118</v>
      </c>
      <c r="B14" s="95" t="s">
        <v>231</v>
      </c>
      <c r="C14" s="94" t="s">
        <v>74</v>
      </c>
      <c r="D14" s="96" t="s">
        <v>99</v>
      </c>
      <c r="E14" s="94">
        <v>288</v>
      </c>
      <c r="F14" s="94">
        <v>6</v>
      </c>
      <c r="G14" s="94" t="s">
        <v>13</v>
      </c>
      <c r="H14" s="97">
        <f t="shared" si="3"/>
        <v>41.027276004000001</v>
      </c>
      <c r="I14" s="152"/>
      <c r="L14" s="80" t="s">
        <v>206</v>
      </c>
      <c r="M14" s="99" t="str">
        <f t="shared" si="2"/>
        <v>10859C</v>
      </c>
      <c r="N14" s="81" t="s">
        <v>231</v>
      </c>
      <c r="O14" s="100">
        <f t="shared" si="0"/>
        <v>41.027276004000001</v>
      </c>
      <c r="Q14" s="101" t="str">
        <f t="shared" si="1"/>
        <v>Y</v>
      </c>
      <c r="R14" s="101" t="str">
        <f t="shared" si="1"/>
        <v>10859C</v>
      </c>
      <c r="S14" s="92" t="str">
        <f t="shared" si="1"/>
        <v>12</v>
      </c>
      <c r="T14" s="102">
        <f t="shared" si="4"/>
        <v>41.027000000000001</v>
      </c>
      <c r="U14" s="157">
        <f>IFERROR(T14/'October 1, 2025'!T14,"")</f>
        <v>1.0300010042177143</v>
      </c>
    </row>
    <row r="15" spans="1:21" x14ac:dyDescent="0.4">
      <c r="A15" s="103"/>
      <c r="B15" s="103"/>
      <c r="C15" s="86"/>
      <c r="D15" s="86"/>
      <c r="E15" s="103"/>
      <c r="F15" s="103"/>
      <c r="G15" s="103"/>
      <c r="H15" s="103"/>
      <c r="I15" s="103"/>
      <c r="J15" s="103"/>
      <c r="O15" s="100"/>
      <c r="U15" s="157" t="str">
        <f>IFERROR(T15/'October 1, 2025'!T15,"")</f>
        <v/>
      </c>
    </row>
    <row r="16" spans="1:21" x14ac:dyDescent="0.4">
      <c r="A16" s="137" t="s">
        <v>207</v>
      </c>
      <c r="B16" s="79"/>
      <c r="C16" s="94"/>
      <c r="D16" s="104"/>
      <c r="E16" s="105"/>
      <c r="F16" s="106"/>
      <c r="O16" s="100"/>
      <c r="U16" s="157" t="str">
        <f>IFERROR(T16/'October 1, 2025'!T16,"")</f>
        <v/>
      </c>
    </row>
    <row r="17" spans="1:21" x14ac:dyDescent="0.4">
      <c r="A17" s="138" t="s">
        <v>35</v>
      </c>
      <c r="H17" s="79"/>
      <c r="O17" s="100"/>
      <c r="P17" s="107"/>
      <c r="U17" s="157" t="str">
        <f>IFERROR(T17/'October 1, 2025'!T17,"")</f>
        <v/>
      </c>
    </row>
    <row r="18" spans="1:21" x14ac:dyDescent="0.4">
      <c r="A18" s="139" t="str">
        <f>"Provided that an additional "&amp;TEXT(O18,"$0.00")&amp;" per hour shall be paid, for all hours worked to employees whose regularly scheduled shift begins"</f>
        <v>Provided that an additional $2.07 per hour shall be paid, for all hours worked to employees whose regularly scheduled shift begins</v>
      </c>
      <c r="H18" s="79"/>
      <c r="L18" s="80" t="s">
        <v>206</v>
      </c>
      <c r="M18" s="80" t="s">
        <v>147</v>
      </c>
      <c r="N18" s="81" t="s">
        <v>148</v>
      </c>
      <c r="O18" s="100">
        <f t="shared" si="0"/>
        <v>2.0657031135740995</v>
      </c>
      <c r="P18" s="107"/>
      <c r="Q18" s="101" t="str">
        <f t="shared" ref="Q18:S20" si="5">L18</f>
        <v>Y</v>
      </c>
      <c r="R18" s="93" t="str">
        <f t="shared" si="5"/>
        <v>CSEAM1</v>
      </c>
      <c r="S18" s="93" t="str">
        <f t="shared" si="5"/>
        <v>TL-Morning Shift Premium CSE</v>
      </c>
      <c r="T18" s="102">
        <f>ROUND(O18,3)</f>
        <v>2.0659999999999998</v>
      </c>
      <c r="U18" s="157">
        <f>IFERROR(T18/'October 1, 2025'!T18,"")</f>
        <v>1.0299102691924227</v>
      </c>
    </row>
    <row r="19" spans="1:21" x14ac:dyDescent="0.4">
      <c r="A19" s="139" t="s">
        <v>208</v>
      </c>
      <c r="H19" s="79"/>
      <c r="L19" s="80" t="s">
        <v>206</v>
      </c>
      <c r="M19" s="80" t="s">
        <v>149</v>
      </c>
      <c r="N19" s="81" t="s">
        <v>150</v>
      </c>
      <c r="O19" s="100">
        <f t="shared" si="0"/>
        <v>2.0657031135740995</v>
      </c>
      <c r="P19" s="107"/>
      <c r="Q19" s="101" t="str">
        <f t="shared" si="5"/>
        <v>Y</v>
      </c>
      <c r="R19" s="93" t="str">
        <f t="shared" si="5"/>
        <v>CSEEVE</v>
      </c>
      <c r="S19" s="93" t="str">
        <f t="shared" si="5"/>
        <v>TL-Evening Shift Premium-CSE</v>
      </c>
      <c r="T19" s="102">
        <f>ROUND(O19,3)</f>
        <v>2.0659999999999998</v>
      </c>
      <c r="U19" s="157">
        <f>IFERROR(T19/'October 1, 2025'!T19,"")</f>
        <v>1.0299102691924227</v>
      </c>
    </row>
    <row r="20" spans="1:21" x14ac:dyDescent="0.4">
      <c r="A20" s="139" t="str">
        <f>"For the Property Services shift that is scheduled from 11:00 p.m. - 7:00 a.m., a premium of  "&amp;TEXT(O20,"$0.00")&amp;" per hour shall be paid, for all hours worked ."</f>
        <v>For the Property Services shift that is scheduled from 11:00 p.m. - 7:00 a.m., a premium of  $2.58 per hour shall be paid, for all hours worked .</v>
      </c>
      <c r="H20" s="79"/>
      <c r="L20" s="80" t="s">
        <v>206</v>
      </c>
      <c r="M20" s="160" t="s">
        <v>261</v>
      </c>
      <c r="N20" s="161" t="s">
        <v>262</v>
      </c>
      <c r="O20" s="162">
        <f>2.5*IncrPerc2024</f>
        <v>2.5750000000000002</v>
      </c>
      <c r="P20" s="107"/>
      <c r="Q20" s="101" t="str">
        <f t="shared" si="5"/>
        <v>Y</v>
      </c>
      <c r="R20" s="160" t="s">
        <v>261</v>
      </c>
      <c r="S20" s="161" t="s">
        <v>262</v>
      </c>
      <c r="T20" s="102">
        <f>ROUND(O20,3)</f>
        <v>2.5750000000000002</v>
      </c>
      <c r="U20" s="157" t="str">
        <f>IFERROR(T20/'October 1, 2025'!T21,"")</f>
        <v/>
      </c>
    </row>
    <row r="21" spans="1:21" x14ac:dyDescent="0.4">
      <c r="A21" s="96"/>
      <c r="H21" s="79"/>
      <c r="O21" s="100"/>
      <c r="P21" s="107"/>
      <c r="R21" s="93"/>
      <c r="S21" s="93"/>
      <c r="T21" s="93"/>
      <c r="U21" s="157"/>
    </row>
    <row r="22" spans="1:21" x14ac:dyDescent="0.4">
      <c r="A22" s="151" t="s">
        <v>38</v>
      </c>
      <c r="H22" s="79"/>
      <c r="O22" s="100"/>
      <c r="P22" s="107"/>
      <c r="R22" s="93"/>
      <c r="S22" s="93"/>
      <c r="T22" s="93"/>
      <c r="U22" s="157" t="str">
        <f>IFERROR(T22/'October 1, 2025'!T22,"")</f>
        <v/>
      </c>
    </row>
    <row r="23" spans="1:21" x14ac:dyDescent="0.4">
      <c r="A23" s="139" t="s">
        <v>180</v>
      </c>
      <c r="H23" s="79"/>
      <c r="O23" s="100"/>
      <c r="P23" s="107"/>
      <c r="R23" s="93"/>
      <c r="S23" s="93"/>
      <c r="T23" s="93"/>
      <c r="U23" s="157" t="str">
        <f>IFERROR(T23/'October 1, 2025'!T23,"")</f>
        <v/>
      </c>
    </row>
    <row r="24" spans="1:21" x14ac:dyDescent="0.4">
      <c r="A24" s="140" t="s">
        <v>81</v>
      </c>
      <c r="C24" s="96" t="str">
        <f>"For all hours worked on shifts that begin between 6:00 a.m. and 1:59 p.m., employees shall be paid a premium of "&amp;TEXT(O24,"$0.00")&amp;" per hour."</f>
        <v>For all hours worked on shifts that begin between 6:00 a.m. and 1:59 p.m., employees shall be paid a premium of $1.74 per hour.</v>
      </c>
      <c r="H24" s="79"/>
      <c r="L24" s="80" t="s">
        <v>206</v>
      </c>
      <c r="M24" s="80" t="s">
        <v>151</v>
      </c>
      <c r="N24" s="81" t="s">
        <v>152</v>
      </c>
      <c r="O24" s="100">
        <f t="shared" si="0"/>
        <v>1.7439744645793838</v>
      </c>
      <c r="P24" s="107"/>
      <c r="Q24" s="101" t="str">
        <f t="shared" ref="Q24:S26" si="6">L24</f>
        <v>Y</v>
      </c>
      <c r="R24" s="93" t="str">
        <f t="shared" si="6"/>
        <v>CSEWK1</v>
      </c>
      <c r="S24" s="93" t="str">
        <f t="shared" si="6"/>
        <v>TL-Sat/Sun1st Shift CSE</v>
      </c>
      <c r="T24" s="102">
        <f t="shared" ref="T24:T26" si="7">ROUND(O24,3)</f>
        <v>1.744</v>
      </c>
      <c r="U24" s="157">
        <f>IFERROR(T24/'October 1, 2025'!T24,"")</f>
        <v>1.0301240401653868</v>
      </c>
    </row>
    <row r="25" spans="1:21" x14ac:dyDescent="0.4">
      <c r="A25" s="140" t="s">
        <v>82</v>
      </c>
      <c r="C25" s="96" t="str">
        <f>"For all hours worked on shifts that begin between 2:00 p.m. and 8:59 p.m., employees shall be paid a premium of "&amp;TEXT(O25,"$0.00")&amp;" per hour."</f>
        <v>For all hours worked on shifts that begin between 2:00 p.m. and 8:59 p.m., employees shall be paid a premium of $2.33 per hour.</v>
      </c>
      <c r="H25" s="79"/>
      <c r="L25" s="80" t="s">
        <v>206</v>
      </c>
      <c r="M25" s="80" t="s">
        <v>153</v>
      </c>
      <c r="N25" s="81" t="s">
        <v>154</v>
      </c>
      <c r="O25" s="100">
        <f t="shared" si="0"/>
        <v>2.3252992861058446</v>
      </c>
      <c r="P25" s="107"/>
      <c r="Q25" s="101" t="str">
        <f t="shared" si="6"/>
        <v>Y</v>
      </c>
      <c r="R25" s="93" t="str">
        <f t="shared" si="6"/>
        <v>CSEWK2</v>
      </c>
      <c r="S25" s="93" t="str">
        <f t="shared" si="6"/>
        <v>TL-Sat/Sun 2ndt Shift CSE</v>
      </c>
      <c r="T25" s="102">
        <f t="shared" si="7"/>
        <v>2.3250000000000002</v>
      </c>
      <c r="U25" s="157">
        <f>IFERROR(T25/'October 1, 2025'!T25,"")</f>
        <v>1.0296722763507529</v>
      </c>
    </row>
    <row r="26" spans="1:21" x14ac:dyDescent="0.4">
      <c r="A26" s="140" t="s">
        <v>209</v>
      </c>
      <c r="C26" s="96" t="str">
        <f>"For all hours worked on shifts that begin between 9:00 p.m. and 5:59 a.m., employees shall be paid a premium of "&amp;TEXT(O26,"$0.00")&amp;" per hour."</f>
        <v>For all hours worked on shifts that begin between 9:00 p.m. and 5:59 a.m., employees shall be paid a premium of $2.65 per hour.</v>
      </c>
      <c r="H26" s="79"/>
      <c r="L26" s="80" t="s">
        <v>206</v>
      </c>
      <c r="M26" s="80" t="s">
        <v>155</v>
      </c>
      <c r="N26" s="81" t="s">
        <v>156</v>
      </c>
      <c r="O26" s="100">
        <f t="shared" si="0"/>
        <v>2.6482575202872121</v>
      </c>
      <c r="P26" s="107"/>
      <c r="Q26" s="101" t="str">
        <f t="shared" si="6"/>
        <v>Y</v>
      </c>
      <c r="R26" s="93" t="str">
        <f t="shared" si="6"/>
        <v>CSEWK3</v>
      </c>
      <c r="S26" s="93" t="str">
        <f t="shared" si="6"/>
        <v>TL-Sat/Sun 3rd Shift CSE</v>
      </c>
      <c r="T26" s="102">
        <f t="shared" si="7"/>
        <v>2.6480000000000001</v>
      </c>
      <c r="U26" s="157">
        <f>IFERROR(T26/'October 1, 2025'!T26,"")</f>
        <v>1.029949436017114</v>
      </c>
    </row>
    <row r="27" spans="1:21" x14ac:dyDescent="0.4">
      <c r="A27" s="139" t="s">
        <v>84</v>
      </c>
      <c r="C27" s="109"/>
      <c r="H27" s="79"/>
      <c r="O27" s="100"/>
      <c r="P27" s="107"/>
      <c r="R27" s="93"/>
      <c r="S27" s="93"/>
      <c r="T27" s="93"/>
      <c r="U27" s="157" t="str">
        <f>IFERROR(T27/'October 1, 2025'!T27,"")</f>
        <v/>
      </c>
    </row>
    <row r="28" spans="1:21" x14ac:dyDescent="0.4">
      <c r="A28" s="96"/>
      <c r="C28" s="109"/>
      <c r="H28" s="79"/>
      <c r="O28" s="100"/>
      <c r="P28" s="107"/>
      <c r="R28" s="93"/>
      <c r="S28" s="93"/>
      <c r="T28" s="93"/>
      <c r="U28" s="157" t="str">
        <f>IFERROR(T28/'October 1, 2025'!T28,"")</f>
        <v/>
      </c>
    </row>
    <row r="29" spans="1:21" x14ac:dyDescent="0.4">
      <c r="A29" s="110" t="s">
        <v>85</v>
      </c>
      <c r="C29" s="109"/>
      <c r="H29" s="79"/>
      <c r="O29" s="100"/>
      <c r="P29" s="107"/>
      <c r="R29" s="93"/>
      <c r="S29" s="93"/>
      <c r="T29" s="93"/>
      <c r="U29" s="157" t="str">
        <f>IFERROR(T29/'October 1, 2025'!T29,"")</f>
        <v/>
      </c>
    </row>
    <row r="30" spans="1:21" ht="14.25" x14ac:dyDescent="0.45">
      <c r="A30" s="108" t="s">
        <v>210</v>
      </c>
      <c r="H30" s="79"/>
      <c r="K30" s="111"/>
      <c r="L30" s="112"/>
      <c r="O30" s="100"/>
      <c r="P30" s="107"/>
      <c r="R30" s="93"/>
      <c r="S30" s="93"/>
      <c r="T30" s="93"/>
      <c r="U30" s="157" t="str">
        <f>IFERROR(T30/'October 1, 2025'!T30,"")</f>
        <v/>
      </c>
    </row>
    <row r="31" spans="1:21" x14ac:dyDescent="0.4">
      <c r="A31" s="108" t="str">
        <f>"Maintenance Engineer I's &amp; II's, who are certified for EPA Universal CFC Refrigeration shall be paid "&amp;TEXT(O31,"$0.00")&amp;" per hour for all hours paid."</f>
        <v>Maintenance Engineer I's &amp; II's, who are certified for EPA Universal CFC Refrigeration shall be paid $1.00 per hour for all hours paid.</v>
      </c>
      <c r="B31" s="86"/>
      <c r="D31" s="86"/>
      <c r="G31" s="113"/>
      <c r="L31" s="80" t="s">
        <v>10</v>
      </c>
      <c r="M31" s="80" t="s">
        <v>157</v>
      </c>
      <c r="N31" s="81" t="s">
        <v>158</v>
      </c>
      <c r="O31" s="100">
        <f t="shared" si="0"/>
        <v>1</v>
      </c>
      <c r="Q31" s="101" t="str">
        <f t="shared" ref="Q31:S31" si="8">L31</f>
        <v>N</v>
      </c>
      <c r="R31" s="93" t="str">
        <f t="shared" si="8"/>
        <v>CSEEPA</v>
      </c>
      <c r="S31" s="93" t="str">
        <f t="shared" si="8"/>
        <v>EPA Univ CFC Refrigeration</v>
      </c>
      <c r="T31" s="93">
        <f>ROUND(O31,2)</f>
        <v>1</v>
      </c>
      <c r="U31" s="157">
        <f>IFERROR(T31/'October 1, 2025'!T31,"")</f>
        <v>1</v>
      </c>
    </row>
    <row r="32" spans="1:21" x14ac:dyDescent="0.4">
      <c r="A32" s="108"/>
      <c r="B32" s="86"/>
      <c r="D32" s="86"/>
      <c r="G32" s="113"/>
      <c r="N32" s="114"/>
      <c r="O32" s="100"/>
      <c r="R32" s="93"/>
      <c r="S32" s="93"/>
      <c r="T32" s="93"/>
      <c r="U32" s="157" t="str">
        <f>IFERROR(T32/'October 1, 2025'!T32,"")</f>
        <v/>
      </c>
    </row>
    <row r="33" spans="1:21" x14ac:dyDescent="0.4">
      <c r="A33" s="108" t="s">
        <v>211</v>
      </c>
      <c r="H33" s="79"/>
      <c r="K33" s="86"/>
      <c r="L33" s="116"/>
      <c r="O33" s="100"/>
      <c r="R33" s="93"/>
      <c r="S33" s="93"/>
      <c r="T33" s="93"/>
      <c r="U33" s="157" t="str">
        <f>IFERROR(T33/'October 1, 2025'!T33,"")</f>
        <v/>
      </c>
    </row>
    <row r="34" spans="1:21" x14ac:dyDescent="0.4">
      <c r="A34" s="108" t="s">
        <v>212</v>
      </c>
      <c r="O34" s="100"/>
      <c r="R34" s="93"/>
      <c r="S34" s="93"/>
      <c r="T34" s="93"/>
      <c r="U34" s="157" t="str">
        <f>IFERROR(T34/'October 1, 2025'!T34,"")</f>
        <v/>
      </c>
    </row>
    <row r="35" spans="1:21" x14ac:dyDescent="0.4">
      <c r="A35" s="117" t="str">
        <f>TEXT(O35,"$0.00")&amp;" per hour for all hours paid."</f>
        <v>$1.00 per hour for all hours paid.</v>
      </c>
      <c r="H35" s="79"/>
      <c r="L35" s="80" t="s">
        <v>10</v>
      </c>
      <c r="M35" s="80" t="s">
        <v>159</v>
      </c>
      <c r="N35" s="81" t="s">
        <v>160</v>
      </c>
      <c r="O35" s="100">
        <f t="shared" si="0"/>
        <v>1</v>
      </c>
      <c r="Q35" s="101" t="str">
        <f t="shared" ref="Q35:S35" si="9">L35</f>
        <v>N</v>
      </c>
      <c r="R35" s="93" t="str">
        <f t="shared" si="9"/>
        <v>CSELME</v>
      </c>
      <c r="S35" s="93" t="str">
        <f t="shared" si="9"/>
        <v>Pow ltd lic/Lic Maint Elect</v>
      </c>
      <c r="T35" s="93">
        <f>ROUND(O35,2)</f>
        <v>1</v>
      </c>
      <c r="U35" s="157">
        <f>IFERROR(T35/'October 1, 2025'!T35,"")</f>
        <v>1</v>
      </c>
    </row>
    <row r="36" spans="1:21" x14ac:dyDescent="0.4">
      <c r="A36" s="118"/>
      <c r="H36" s="79"/>
      <c r="O36" s="100"/>
      <c r="R36" s="93"/>
      <c r="S36" s="93"/>
      <c r="T36" s="93"/>
      <c r="U36" s="157" t="str">
        <f>IFERROR(T36/'October 1, 2025'!T36,"")</f>
        <v/>
      </c>
    </row>
    <row r="37" spans="1:21" ht="12.75" customHeight="1" x14ac:dyDescent="0.4">
      <c r="A37" s="108" t="s">
        <v>213</v>
      </c>
      <c r="H37" s="79"/>
      <c r="K37" s="86"/>
      <c r="L37" s="116"/>
      <c r="O37" s="100"/>
      <c r="R37" s="93"/>
      <c r="S37" s="93"/>
      <c r="T37" s="93"/>
      <c r="U37" s="157" t="str">
        <f>IFERROR(T37/'October 1, 2025'!T37,"")</f>
        <v/>
      </c>
    </row>
    <row r="38" spans="1:21" ht="12.75" customHeight="1" x14ac:dyDescent="0.4">
      <c r="A38" s="108" t="str">
        <f>"as 'Gas Fitters' at the discretion of management. Designated Gas Fitters shall be paid a premium of "&amp;TEXT(O38,"$0.00")&amp;" per hour for all the hours performing work that requires the certificate."</f>
        <v>as 'Gas Fitters' at the discretion of management. Designated Gas Fitters shall be paid a premium of $1.00 per hour for all the hours performing work that requires the certificate.</v>
      </c>
      <c r="H38" s="79"/>
      <c r="K38" s="86"/>
      <c r="L38" s="80" t="s">
        <v>10</v>
      </c>
      <c r="M38" s="80" t="s">
        <v>161</v>
      </c>
      <c r="N38" s="81" t="s">
        <v>162</v>
      </c>
      <c r="O38" s="100">
        <f t="shared" si="0"/>
        <v>1</v>
      </c>
      <c r="Q38" s="101" t="str">
        <f t="shared" ref="Q38:S38" si="10">L38</f>
        <v>N</v>
      </c>
      <c r="R38" s="93" t="str">
        <f t="shared" si="10"/>
        <v>CSEGAS</v>
      </c>
      <c r="S38" s="93" t="str">
        <f t="shared" si="10"/>
        <v>TL-Citys Gas Fitting-CSE</v>
      </c>
      <c r="T38" s="93">
        <f>ROUND(O38,2)</f>
        <v>1</v>
      </c>
      <c r="U38" s="157">
        <f>IFERROR(T38/'October 1, 2025'!T38,"")</f>
        <v>1</v>
      </c>
    </row>
    <row r="39" spans="1:21" ht="12.75" customHeight="1" x14ac:dyDescent="0.4">
      <c r="A39" s="108"/>
      <c r="G39" s="113"/>
      <c r="O39" s="100"/>
      <c r="R39" s="93"/>
      <c r="S39" s="93"/>
      <c r="T39" s="93"/>
      <c r="U39" s="157" t="str">
        <f>IFERROR(T39/'October 1, 2025'!T39,"")</f>
        <v/>
      </c>
    </row>
    <row r="40" spans="1:21" ht="12.75" customHeight="1" x14ac:dyDescent="0.4">
      <c r="A40" s="146" t="s">
        <v>214</v>
      </c>
      <c r="G40" s="113"/>
      <c r="O40" s="100"/>
      <c r="R40" s="93"/>
      <c r="S40" s="93"/>
      <c r="T40" s="93"/>
      <c r="U40" s="157" t="str">
        <f>IFERROR(T40/'October 1, 2025'!T40,"")</f>
        <v/>
      </c>
    </row>
    <row r="41" spans="1:21" ht="12.75" customHeight="1" x14ac:dyDescent="0.4">
      <c r="A41" s="146" t="str">
        <f>"Certification shall be paid "&amp;TEXT(O41,"$0.00")&amp;" per hour for all hours paid."</f>
        <v>Certification shall be paid $0.20 per hour for all hours paid.</v>
      </c>
      <c r="G41" s="113"/>
      <c r="L41" s="80" t="s">
        <v>10</v>
      </c>
      <c r="M41" s="80" t="s">
        <v>163</v>
      </c>
      <c r="N41" s="81" t="s">
        <v>164</v>
      </c>
      <c r="O41" s="100">
        <f t="shared" si="0"/>
        <v>0.2</v>
      </c>
      <c r="Q41" s="101" t="str">
        <f t="shared" ref="Q41:S41" si="11">L41</f>
        <v>N</v>
      </c>
      <c r="R41" s="93" t="str">
        <f t="shared" si="11"/>
        <v>CSEABC</v>
      </c>
      <c r="S41" s="93" t="str">
        <f t="shared" si="11"/>
        <v>ABC Plant Mntc Tech Class 2</v>
      </c>
      <c r="T41" s="93">
        <f>ROUND(O41,2)</f>
        <v>0.2</v>
      </c>
      <c r="U41" s="157">
        <f>IFERROR(T41/'October 1, 2025'!T41,"")</f>
        <v>1</v>
      </c>
    </row>
    <row r="42" spans="1:21" ht="12.75" customHeight="1" x14ac:dyDescent="0.4">
      <c r="A42" s="96"/>
      <c r="H42" s="79"/>
      <c r="O42" s="100"/>
      <c r="R42" s="93"/>
      <c r="S42" s="93"/>
      <c r="T42" s="93"/>
      <c r="U42" s="157" t="str">
        <f>IFERROR(T42/'October 1, 2025'!T42,"")</f>
        <v/>
      </c>
    </row>
    <row r="43" spans="1:21" ht="12.75" customHeight="1" x14ac:dyDescent="0.4">
      <c r="A43" s="118" t="str">
        <f>"Up to a maximum of 3 certified and assigned Stationary Engineers in the Property Services Division may be paid a Fire Extinguisher"</f>
        <v>Up to a maximum of 3 certified and assigned Stationary Engineers in the Property Services Division may be paid a Fire Extinguisher</v>
      </c>
      <c r="G43" s="109"/>
      <c r="H43" s="120"/>
      <c r="L43" s="80" t="s">
        <v>10</v>
      </c>
      <c r="M43" s="80" t="s">
        <v>165</v>
      </c>
      <c r="N43" s="81" t="s">
        <v>166</v>
      </c>
      <c r="O43" s="100">
        <f t="shared" si="0"/>
        <v>0.25</v>
      </c>
      <c r="Q43" s="101" t="str">
        <f t="shared" ref="Q43:S43" si="12">L43</f>
        <v>N</v>
      </c>
      <c r="R43" s="93" t="str">
        <f t="shared" si="12"/>
        <v>CSEFEX</v>
      </c>
      <c r="S43" s="93" t="str">
        <f t="shared" si="12"/>
        <v>Fire Extinguisher Spec-Cert</v>
      </c>
      <c r="T43" s="93">
        <f>ROUND(O43,2)</f>
        <v>0.25</v>
      </c>
      <c r="U43" s="157">
        <f>IFERROR(T43/'October 1, 2025'!T43,"")</f>
        <v>1</v>
      </c>
    </row>
    <row r="44" spans="1:21" ht="12.75" customHeight="1" x14ac:dyDescent="0.4">
      <c r="A44" s="118" t="str">
        <f>"Certification Premium of "&amp;TEXT(O43,"$0.00")&amp;" for all hours paid."</f>
        <v>Certification Premium of $0.25 for all hours paid.</v>
      </c>
      <c r="G44" s="109"/>
      <c r="H44" s="120"/>
      <c r="O44" s="100"/>
      <c r="R44" s="93"/>
      <c r="S44" s="93"/>
      <c r="T44" s="93"/>
      <c r="U44" s="157" t="str">
        <f>IFERROR(T44/'October 1, 2025'!T44,"")</f>
        <v/>
      </c>
    </row>
    <row r="45" spans="1:21" ht="12.75" customHeight="1" x14ac:dyDescent="0.4">
      <c r="A45" s="121"/>
      <c r="G45" s="109"/>
      <c r="H45" s="120"/>
      <c r="O45" s="100"/>
      <c r="R45" s="93"/>
      <c r="S45" s="93"/>
      <c r="T45" s="93"/>
      <c r="U45" s="157" t="str">
        <f>IFERROR(T45/'October 1, 2025'!T45,"")</f>
        <v/>
      </c>
    </row>
    <row r="46" spans="1:21" ht="12.75" customHeight="1" x14ac:dyDescent="0.4">
      <c r="A46" s="121" t="str">
        <f>"A qualified Water Maintenance Technician designated as Chief Engineer is eligible to receive a premium of "&amp;TEXT(O46,"$0.00")&amp;" per hour for all hours paid."</f>
        <v>A qualified Water Maintenance Technician designated as Chief Engineer is eligible to receive a premium of $3.00 per hour for all hours paid.</v>
      </c>
      <c r="G46" s="109"/>
      <c r="H46" s="120"/>
      <c r="L46" s="80" t="s">
        <v>10</v>
      </c>
      <c r="M46" s="80" t="s">
        <v>215</v>
      </c>
      <c r="N46" s="81" t="s">
        <v>216</v>
      </c>
      <c r="O46" s="100">
        <f t="shared" si="0"/>
        <v>3</v>
      </c>
      <c r="Q46" s="101" t="str">
        <f t="shared" ref="Q46:S46" si="13">L46</f>
        <v>N</v>
      </c>
      <c r="R46" s="93" t="str">
        <f t="shared" si="13"/>
        <v>CSECHE</v>
      </c>
      <c r="S46" s="93" t="str">
        <f t="shared" si="13"/>
        <v>Chief Engineer Prem</v>
      </c>
      <c r="T46" s="93">
        <f>ROUND(O46,2)</f>
        <v>3</v>
      </c>
      <c r="U46" s="157">
        <f>IFERROR(T46/'October 1, 2025'!T46,"")</f>
        <v>1</v>
      </c>
    </row>
    <row r="47" spans="1:21" x14ac:dyDescent="0.4">
      <c r="A47" s="118" t="str">
        <f>"Employees training Maintenance Engineer Assistants shall receive a "&amp;TEXT(O47,"$4.00")&amp;" per hour for all hours spent training."</f>
        <v>Employees training Maintenance Engineer Assistants shall receive a $4.00 per hour for all hours spent training.</v>
      </c>
      <c r="D47" s="122"/>
      <c r="H47" s="79"/>
      <c r="O47" s="100"/>
      <c r="R47" s="93"/>
      <c r="S47" s="93"/>
      <c r="T47" s="93"/>
      <c r="U47" s="157" t="str">
        <f>IFERROR(T47/'October 1, 2025'!T47,"")</f>
        <v/>
      </c>
    </row>
    <row r="48" spans="1:21" x14ac:dyDescent="0.4">
      <c r="A48" s="110" t="s">
        <v>56</v>
      </c>
      <c r="H48" s="79"/>
      <c r="L48" s="154" t="s">
        <v>10</v>
      </c>
      <c r="M48" s="154"/>
      <c r="N48" s="155" t="s">
        <v>260</v>
      </c>
      <c r="O48" s="156">
        <v>4</v>
      </c>
      <c r="Q48" s="154" t="s">
        <v>10</v>
      </c>
      <c r="R48" s="154"/>
      <c r="S48" s="155" t="s">
        <v>260</v>
      </c>
      <c r="T48" s="156">
        <v>4</v>
      </c>
      <c r="U48" s="157">
        <f>IFERROR(T48/'October 1, 2025'!T49,"")</f>
        <v>1</v>
      </c>
    </row>
    <row r="49" spans="1:21" x14ac:dyDescent="0.4">
      <c r="A49" s="96" t="s">
        <v>217</v>
      </c>
      <c r="H49" s="79"/>
      <c r="O49" s="100"/>
      <c r="R49" s="93"/>
      <c r="S49" s="93"/>
      <c r="T49" s="93"/>
      <c r="U49" s="157" t="str">
        <f>IFERROR(T49/'October 1, 2025'!T50,"")</f>
        <v/>
      </c>
    </row>
    <row r="50" spans="1:21" x14ac:dyDescent="0.4">
      <c r="A50" s="97">
        <f>O50</f>
        <v>0.45648208652131173</v>
      </c>
      <c r="B50" s="123" t="s">
        <v>59</v>
      </c>
      <c r="H50" s="79"/>
      <c r="L50" s="80" t="s">
        <v>206</v>
      </c>
      <c r="M50" s="80" t="s">
        <v>167</v>
      </c>
      <c r="O50" s="100">
        <f t="shared" si="0"/>
        <v>0.45648208652131173</v>
      </c>
      <c r="P50" s="141"/>
      <c r="Q50" s="101" t="str">
        <f>L50</f>
        <v>Y</v>
      </c>
      <c r="R50" s="93" t="str">
        <f>M50</f>
        <v>10th</v>
      </c>
      <c r="S50" s="93">
        <f>N50</f>
        <v>0</v>
      </c>
      <c r="T50" s="93">
        <f>ROUND(O50,3)</f>
        <v>0.45600000000000002</v>
      </c>
      <c r="U50" s="157">
        <f>IFERROR(T50/'October 1, 2025'!T51,"")</f>
        <v>1.0293453724604966</v>
      </c>
    </row>
    <row r="51" spans="1:21" x14ac:dyDescent="0.4">
      <c r="A51" s="97">
        <f t="shared" ref="A51:A53" si="14">O51</f>
        <v>0.55398963658535028</v>
      </c>
      <c r="B51" s="123" t="s">
        <v>60</v>
      </c>
      <c r="H51" s="79"/>
      <c r="L51" s="80" t="s">
        <v>206</v>
      </c>
      <c r="M51" s="80" t="s">
        <v>168</v>
      </c>
      <c r="O51" s="100">
        <f t="shared" si="0"/>
        <v>0.55398963658535028</v>
      </c>
      <c r="P51" s="141"/>
      <c r="Q51" s="101" t="str">
        <f t="shared" ref="Q51:S53" si="15">L51</f>
        <v>Y</v>
      </c>
      <c r="R51" s="93" t="str">
        <f t="shared" si="15"/>
        <v>15th</v>
      </c>
      <c r="S51" s="93">
        <f t="shared" si="15"/>
        <v>0</v>
      </c>
      <c r="T51" s="93">
        <f t="shared" ref="T51:T53" si="16">ROUND(O51,3)</f>
        <v>0.55400000000000005</v>
      </c>
      <c r="U51" s="157">
        <f>IFERROR(T51/'October 1, 2025'!T52,"")</f>
        <v>1.029739776951673</v>
      </c>
    </row>
    <row r="52" spans="1:21" x14ac:dyDescent="0.4">
      <c r="A52" s="97">
        <f t="shared" si="14"/>
        <v>0.65676786503122841</v>
      </c>
      <c r="B52" s="123" t="s">
        <v>61</v>
      </c>
      <c r="H52" s="79"/>
      <c r="L52" s="80" t="s">
        <v>206</v>
      </c>
      <c r="M52" s="80" t="s">
        <v>169</v>
      </c>
      <c r="O52" s="100">
        <f t="shared" si="0"/>
        <v>0.65676786503122841</v>
      </c>
      <c r="P52" s="141"/>
      <c r="Q52" s="101" t="str">
        <f t="shared" si="15"/>
        <v>Y</v>
      </c>
      <c r="R52" s="93" t="str">
        <f t="shared" si="15"/>
        <v>20th</v>
      </c>
      <c r="S52" s="93">
        <f t="shared" si="15"/>
        <v>0</v>
      </c>
      <c r="T52" s="93">
        <f t="shared" si="16"/>
        <v>0.65700000000000003</v>
      </c>
      <c r="U52" s="157">
        <f>IFERROR(T52/'October 1, 2025'!T53,"")</f>
        <v>1.0297805642633229</v>
      </c>
    </row>
    <row r="53" spans="1:21" x14ac:dyDescent="0.4">
      <c r="A53" s="97">
        <f t="shared" si="14"/>
        <v>0.79927999999999999</v>
      </c>
      <c r="B53" s="123" t="s">
        <v>62</v>
      </c>
      <c r="C53" s="124"/>
      <c r="D53" s="124"/>
      <c r="H53" s="79"/>
      <c r="L53" s="80" t="s">
        <v>206</v>
      </c>
      <c r="M53" s="80" t="s">
        <v>170</v>
      </c>
      <c r="O53" s="100">
        <f>'October 1, 2025'!O54*'October 1, 2026'!IncrPerc2024</f>
        <v>0.79927999999999999</v>
      </c>
      <c r="P53" s="141"/>
      <c r="Q53" s="101" t="str">
        <f t="shared" si="15"/>
        <v>Y</v>
      </c>
      <c r="R53" s="93" t="str">
        <f t="shared" si="15"/>
        <v>25th</v>
      </c>
      <c r="S53" s="93">
        <f t="shared" si="15"/>
        <v>0</v>
      </c>
      <c r="T53" s="93">
        <f t="shared" si="16"/>
        <v>0.79900000000000004</v>
      </c>
      <c r="U53" s="157">
        <f>IFERROR(T53/'October 1, 2025'!T54,"")</f>
        <v>1.0296391752577321</v>
      </c>
    </row>
    <row r="54" spans="1:21" x14ac:dyDescent="0.4">
      <c r="A54" s="125"/>
      <c r="B54" s="124"/>
      <c r="C54" s="124"/>
      <c r="D54" s="124"/>
      <c r="H54" s="79"/>
      <c r="O54" s="100"/>
      <c r="R54" s="93"/>
      <c r="S54" s="93"/>
      <c r="T54" s="93"/>
      <c r="U54" s="157" t="str">
        <f>IFERROR(T54/'October 1, 2025'!T55,"")</f>
        <v/>
      </c>
    </row>
    <row r="55" spans="1:21" x14ac:dyDescent="0.4">
      <c r="A55" s="126" t="s">
        <v>63</v>
      </c>
      <c r="B55" s="86"/>
      <c r="C55" s="86"/>
      <c r="D55" s="86"/>
      <c r="H55" s="79"/>
      <c r="J55" s="86"/>
      <c r="K55" s="86"/>
      <c r="L55" s="116"/>
      <c r="M55" s="116"/>
      <c r="O55" s="100"/>
      <c r="R55" s="93"/>
      <c r="S55" s="93"/>
      <c r="T55" s="93"/>
      <c r="U55" s="157" t="str">
        <f>IFERROR(T55/'October 1, 2025'!T56,"")</f>
        <v/>
      </c>
    </row>
    <row r="56" spans="1:21" x14ac:dyDescent="0.4">
      <c r="A56" s="78" t="s">
        <v>64</v>
      </c>
      <c r="H56" s="79"/>
      <c r="O56" s="100"/>
      <c r="R56" s="93"/>
      <c r="S56" s="93"/>
      <c r="T56" s="93"/>
      <c r="U56" s="157" t="str">
        <f>IFERROR(T56/'October 1, 2025'!T57,"")</f>
        <v/>
      </c>
    </row>
    <row r="57" spans="1:21" x14ac:dyDescent="0.4">
      <c r="A57" s="118" t="str">
        <f>TEXT(O57,"$0.00")&amp;" for each weekday the employee is on on-call"</f>
        <v>$45.00 for each weekday the employee is on on-call</v>
      </c>
      <c r="H57" s="79"/>
      <c r="K57" s="78" t="s">
        <v>250</v>
      </c>
      <c r="L57" s="80" t="s">
        <v>10</v>
      </c>
      <c r="M57" s="127" t="s">
        <v>171</v>
      </c>
      <c r="N57" s="81" t="s">
        <v>172</v>
      </c>
      <c r="O57" s="100">
        <f t="shared" si="0"/>
        <v>45</v>
      </c>
      <c r="Q57" s="101" t="str">
        <f t="shared" ref="Q57:S58" si="17">L57</f>
        <v>N</v>
      </c>
      <c r="R57" s="93" t="str">
        <f t="shared" si="17"/>
        <v>CSECDY</v>
      </c>
      <c r="S57" s="93" t="str">
        <f t="shared" si="17"/>
        <v>TL-On call by the day-CSE</v>
      </c>
      <c r="T57" s="93">
        <f t="shared" ref="T57:T58" si="18">ROUND(O57,2)</f>
        <v>45</v>
      </c>
      <c r="U57" s="157">
        <f>IFERROR(T57/'October 1, 2025'!T58,"")</f>
        <v>1</v>
      </c>
    </row>
    <row r="58" spans="1:21" x14ac:dyDescent="0.4">
      <c r="A58" s="118" t="str">
        <f>TEXT(O58,"$0.00")&amp;" for each weekend day (Saturday or Sunday) or holiday the employee is on-call"</f>
        <v>$55.00 for each weekend day (Saturday or Sunday) or holiday the employee is on-call</v>
      </c>
      <c r="H58" s="79"/>
      <c r="K58" s="78" t="s">
        <v>250</v>
      </c>
      <c r="L58" s="80" t="s">
        <v>10</v>
      </c>
      <c r="M58" s="80" t="s">
        <v>173</v>
      </c>
      <c r="N58" s="81" t="s">
        <v>174</v>
      </c>
      <c r="O58" s="100">
        <f t="shared" si="0"/>
        <v>55</v>
      </c>
      <c r="Q58" s="101" t="str">
        <f t="shared" si="17"/>
        <v>N</v>
      </c>
      <c r="R58" s="93" t="str">
        <f t="shared" si="17"/>
        <v>CSECWE</v>
      </c>
      <c r="S58" s="93" t="str">
        <f t="shared" si="17"/>
        <v>TL-On call by day Weekend-CSE</v>
      </c>
      <c r="T58" s="93">
        <f t="shared" si="18"/>
        <v>55</v>
      </c>
      <c r="U58" s="157">
        <f>IFERROR(T58/'October 1, 2025'!T59,"")</f>
        <v>1</v>
      </c>
    </row>
    <row r="59" spans="1:21" x14ac:dyDescent="0.4">
      <c r="A59" s="118" t="s">
        <v>67</v>
      </c>
      <c r="H59" s="79"/>
      <c r="O59" s="100"/>
      <c r="R59" s="93"/>
      <c r="S59" s="93"/>
      <c r="T59" s="93"/>
      <c r="U59" s="157" t="str">
        <f>IFERROR(T59/'October 1, 2025'!T60,"")</f>
        <v/>
      </c>
    </row>
    <row r="60" spans="1:21" x14ac:dyDescent="0.4">
      <c r="A60" s="118" t="s">
        <v>68</v>
      </c>
      <c r="H60" s="79"/>
      <c r="O60" s="100"/>
      <c r="R60" s="93"/>
      <c r="S60" s="93"/>
      <c r="T60" s="93"/>
      <c r="U60" s="157" t="str">
        <f>IFERROR(T60/'October 1, 2025'!T61,"")</f>
        <v/>
      </c>
    </row>
    <row r="61" spans="1:21" x14ac:dyDescent="0.4">
      <c r="O61" s="100"/>
      <c r="R61" s="93"/>
      <c r="S61" s="93"/>
      <c r="T61" s="93"/>
      <c r="U61" s="157" t="str">
        <f>IFERROR(T61/'October 1, 2025'!T62,"")</f>
        <v/>
      </c>
    </row>
    <row r="62" spans="1:21" x14ac:dyDescent="0.4">
      <c r="A62" s="126" t="s">
        <v>218</v>
      </c>
      <c r="O62" s="100"/>
      <c r="R62" s="93"/>
      <c r="S62" s="93"/>
      <c r="T62" s="93"/>
      <c r="U62" s="157" t="str">
        <f>IFERROR(T62/'October 1, 2025'!T63,"")</f>
        <v/>
      </c>
    </row>
    <row r="63" spans="1:21" x14ac:dyDescent="0.4">
      <c r="A63" s="78" t="s">
        <v>219</v>
      </c>
      <c r="O63" s="100"/>
      <c r="R63" s="93"/>
      <c r="S63" s="93"/>
      <c r="T63" s="93"/>
      <c r="U63" s="157" t="str">
        <f>IFERROR(T63/'October 1, 2025'!T64,"")</f>
        <v/>
      </c>
    </row>
    <row r="64" spans="1:21" x14ac:dyDescent="0.4">
      <c r="A64" s="78" t="s">
        <v>220</v>
      </c>
      <c r="N64" s="80"/>
      <c r="O64" s="100"/>
      <c r="R64" s="93"/>
      <c r="S64" s="93"/>
      <c r="T64" s="93"/>
      <c r="U64" s="157" t="str">
        <f>IFERROR(T64/'October 1, 2025'!T65,"")</f>
        <v/>
      </c>
    </row>
    <row r="65" spans="1:21" x14ac:dyDescent="0.4">
      <c r="A65" s="78" t="s">
        <v>221</v>
      </c>
      <c r="L65" s="80" t="s">
        <v>206</v>
      </c>
      <c r="M65" s="80" t="s">
        <v>131</v>
      </c>
      <c r="N65" s="81" t="s">
        <v>132</v>
      </c>
      <c r="O65" s="100">
        <f>(IF(L65="Y",VLOOKUP(M65,Data25.1,3,0)*IncrPerc2024,VLOOKUP(M65,DataOct25,3,0)))</f>
        <v>3.8147130668789995</v>
      </c>
      <c r="Q65" s="101" t="str">
        <f t="shared" ref="Q65:S67" si="19">L65</f>
        <v>Y</v>
      </c>
      <c r="R65" s="93" t="str">
        <f t="shared" si="19"/>
        <v>CSEW1P</v>
      </c>
      <c r="S65" s="93" t="str">
        <f t="shared" si="19"/>
        <v>Sat/Sun 1st Shft + AM/EVE Shft</v>
      </c>
      <c r="T65" s="93">
        <f t="shared" ref="T65:T67" si="20">ROUND(O65,2)</f>
        <v>3.81</v>
      </c>
      <c r="U65" s="157">
        <f>IFERROR(T65/'October 1, 2025'!T66,"")</f>
        <v>1.0297297297297296</v>
      </c>
    </row>
    <row r="66" spans="1:21" x14ac:dyDescent="0.4">
      <c r="L66" s="80" t="s">
        <v>206</v>
      </c>
      <c r="M66" s="80" t="s">
        <v>133</v>
      </c>
      <c r="N66" s="81" t="s">
        <v>134</v>
      </c>
      <c r="O66" s="100">
        <f>(IF(L66="Y",VLOOKUP(M66,Data25.1,3,0)*IncrPerc2024,VLOOKUP(M66,DataOct25,3,0)))</f>
        <v>4.3905188128229993</v>
      </c>
      <c r="Q66" s="101" t="str">
        <f t="shared" si="19"/>
        <v>Y</v>
      </c>
      <c r="R66" s="93" t="str">
        <f t="shared" si="19"/>
        <v>CSEW2P</v>
      </c>
      <c r="S66" s="93" t="str">
        <f t="shared" si="19"/>
        <v>Sat/Sun 2nd Shft + AM/EVE Shft</v>
      </c>
      <c r="T66" s="93">
        <f t="shared" si="20"/>
        <v>4.3899999999999997</v>
      </c>
      <c r="U66" s="157">
        <f>IFERROR(T66/'October 1, 2025'!T67,"")</f>
        <v>1.0305164319248825</v>
      </c>
    </row>
    <row r="67" spans="1:21" x14ac:dyDescent="0.4">
      <c r="L67" s="80" t="s">
        <v>206</v>
      </c>
      <c r="M67" s="80" t="s">
        <v>135</v>
      </c>
      <c r="N67" s="81" t="s">
        <v>136</v>
      </c>
      <c r="O67" s="100">
        <f>(IF(L67="Y",VLOOKUP(M67,Data25.1,3,0)*IncrPerc2024,VLOOKUP(M67,DataOct25,3,0)))</f>
        <v>4.7144095449164993</v>
      </c>
      <c r="Q67" s="101" t="str">
        <f t="shared" si="19"/>
        <v>Y</v>
      </c>
      <c r="R67" s="93" t="str">
        <f t="shared" si="19"/>
        <v>CSEW3P</v>
      </c>
      <c r="S67" s="93" t="str">
        <f t="shared" si="19"/>
        <v>Sat/Sun 3rd Shft + AM/EVE Shft</v>
      </c>
      <c r="T67" s="93">
        <f t="shared" si="20"/>
        <v>4.71</v>
      </c>
      <c r="U67" s="157">
        <f>IFERROR(T67/'October 1, 2025'!T68,"")</f>
        <v>1.0283842794759825</v>
      </c>
    </row>
  </sheetData>
  <sheetProtection sheet="1" objects="1" scenarios="1"/>
  <mergeCells count="1">
    <mergeCell ref="A3:C3"/>
  </mergeCells>
  <pageMargins left="0.2" right="0.2" top="0.75" bottom="0.75" header="0.3" footer="0.3"/>
  <pageSetup fitToHeight="0" orientation="landscape" r:id="rId1"/>
  <headerFooter alignWithMargins="0">
    <oddFooter>&amp;L&amp;8Last Updated:  &amp;D&amp;R&amp;8Page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ECF76-83B5-424B-B48B-D1C11524E746}">
  <sheetPr>
    <pageSetUpPr fitToPage="1"/>
  </sheetPr>
  <dimension ref="A1:U67"/>
  <sheetViews>
    <sheetView showGridLines="0" zoomScale="98" zoomScaleNormal="98" workbookViewId="0">
      <selection activeCell="K24" sqref="K1:U1048576"/>
    </sheetView>
  </sheetViews>
  <sheetFormatPr defaultColWidth="9.1328125" defaultRowHeight="13.15" x14ac:dyDescent="0.4"/>
  <cols>
    <col min="1" max="1" width="9.1328125" style="78"/>
    <col min="2" max="2" width="11.6640625" style="78" customWidth="1"/>
    <col min="3" max="3" width="12.59765625" style="78" customWidth="1"/>
    <col min="4" max="4" width="57.73046875" style="78" bestFit="1" customWidth="1"/>
    <col min="5" max="5" width="6.1328125" style="78" customWidth="1"/>
    <col min="6" max="6" width="7.1328125" style="78" customWidth="1"/>
    <col min="7" max="7" width="8.265625" style="78" customWidth="1"/>
    <col min="8" max="8" width="7.3984375" style="78" bestFit="1" customWidth="1"/>
    <col min="9" max="9" width="22.1328125" style="78" customWidth="1"/>
    <col min="10" max="10" width="11.59765625" style="78" customWidth="1"/>
    <col min="11" max="11" width="7.265625" style="78" hidden="1" customWidth="1"/>
    <col min="12" max="12" width="16.265625" style="80" hidden="1" customWidth="1"/>
    <col min="13" max="13" width="7.3984375" style="80" hidden="1" customWidth="1"/>
    <col min="14" max="14" width="25.86328125" style="81" hidden="1" customWidth="1"/>
    <col min="15" max="15" width="7.73046875" style="84" hidden="1" customWidth="1"/>
    <col min="16" max="16" width="6.1328125" style="78" hidden="1" customWidth="1"/>
    <col min="17" max="17" width="11" style="83" hidden="1" customWidth="1"/>
    <col min="18" max="18" width="7.3984375" style="83" hidden="1" customWidth="1"/>
    <col min="19" max="19" width="25.86328125" style="83" hidden="1" customWidth="1"/>
    <col min="20" max="20" width="7.3984375" style="83" hidden="1" customWidth="1"/>
    <col min="21" max="21" width="9.1328125" style="78" hidden="1" customWidth="1"/>
    <col min="22" max="23" width="9.1328125" style="78" customWidth="1"/>
    <col min="24" max="16384" width="9.1328125" style="78"/>
  </cols>
  <sheetData>
    <row r="1" spans="1:21" ht="15.75" x14ac:dyDescent="0.5">
      <c r="A1" s="147" t="s">
        <v>191</v>
      </c>
    </row>
    <row r="2" spans="1:21" ht="15.75" x14ac:dyDescent="0.5">
      <c r="A2" s="77" t="s">
        <v>192</v>
      </c>
      <c r="I2" s="79"/>
      <c r="N2" s="81" t="s">
        <v>253</v>
      </c>
      <c r="O2" s="82">
        <v>1.03</v>
      </c>
    </row>
    <row r="3" spans="1:21" x14ac:dyDescent="0.4">
      <c r="A3" s="165" t="s">
        <v>259</v>
      </c>
      <c r="B3" s="165"/>
      <c r="C3" s="165"/>
      <c r="H3" s="79"/>
    </row>
    <row r="4" spans="1:21" x14ac:dyDescent="0.4">
      <c r="A4" s="85" t="s">
        <v>258</v>
      </c>
      <c r="B4" s="151"/>
      <c r="C4" s="151"/>
      <c r="H4" s="79"/>
    </row>
    <row r="5" spans="1:21" x14ac:dyDescent="0.4">
      <c r="A5" s="96" t="s">
        <v>256</v>
      </c>
      <c r="B5" s="151"/>
      <c r="C5" s="151"/>
      <c r="H5" s="79"/>
    </row>
    <row r="6" spans="1:21" x14ac:dyDescent="0.4">
      <c r="H6" s="79"/>
      <c r="I6" s="86"/>
      <c r="J6" s="86"/>
      <c r="L6" s="80" t="s">
        <v>197</v>
      </c>
      <c r="Q6" s="83" t="s">
        <v>198</v>
      </c>
    </row>
    <row r="7" spans="1:21" ht="26.25" x14ac:dyDescent="0.4">
      <c r="A7" s="87" t="s">
        <v>199</v>
      </c>
      <c r="B7" s="87" t="s">
        <v>200</v>
      </c>
      <c r="C7" s="87" t="s">
        <v>201</v>
      </c>
      <c r="D7" s="88" t="s">
        <v>5</v>
      </c>
      <c r="E7" s="89" t="s">
        <v>202</v>
      </c>
      <c r="F7" s="87" t="s">
        <v>203</v>
      </c>
      <c r="G7" s="87" t="s">
        <v>204</v>
      </c>
      <c r="H7" s="89" t="s">
        <v>117</v>
      </c>
      <c r="L7" s="80" t="s">
        <v>205</v>
      </c>
      <c r="M7" s="90" t="s">
        <v>140</v>
      </c>
      <c r="N7" s="81" t="s">
        <v>141</v>
      </c>
      <c r="O7" s="84" t="s">
        <v>142</v>
      </c>
      <c r="Q7" s="83" t="s">
        <v>205</v>
      </c>
      <c r="R7" s="91" t="s">
        <v>140</v>
      </c>
      <c r="S7" s="92" t="s">
        <v>141</v>
      </c>
      <c r="T7" s="93" t="s">
        <v>142</v>
      </c>
    </row>
    <row r="8" spans="1:21" x14ac:dyDescent="0.4">
      <c r="A8" s="94" t="s">
        <v>118</v>
      </c>
      <c r="B8" s="95" t="s">
        <v>228</v>
      </c>
      <c r="C8" s="94" t="s">
        <v>229</v>
      </c>
      <c r="D8" s="96" t="s">
        <v>230</v>
      </c>
      <c r="E8" s="94">
        <v>168</v>
      </c>
      <c r="F8" s="94">
        <v>3</v>
      </c>
      <c r="G8" s="94" t="s">
        <v>13</v>
      </c>
      <c r="H8" s="97">
        <f>O8</f>
        <v>36.230244232000004</v>
      </c>
      <c r="I8" s="152"/>
      <c r="L8" s="80" t="s">
        <v>206</v>
      </c>
      <c r="M8" s="99" t="str">
        <f>C8</f>
        <v>59476C</v>
      </c>
      <c r="N8" s="81" t="s">
        <v>228</v>
      </c>
      <c r="O8" s="100">
        <f t="shared" ref="O8:O14" si="0">(IF(L8="Y",VLOOKUP(M8,DataOct26,3,0)*IncrPerc2024,VLOOKUP(M8,DataOct26,3,0)))</f>
        <v>36.230244232000004</v>
      </c>
      <c r="P8" s="141"/>
      <c r="Q8" s="101" t="str">
        <f t="shared" ref="Q8:S14" si="1">L8</f>
        <v>Y</v>
      </c>
      <c r="R8" s="101" t="str">
        <f t="shared" si="1"/>
        <v>59476C</v>
      </c>
      <c r="S8" s="92" t="str">
        <f t="shared" si="1"/>
        <v>11</v>
      </c>
      <c r="T8" s="102">
        <f>ROUND(O8,3)</f>
        <v>36.229999999999997</v>
      </c>
      <c r="U8" s="157">
        <f>IFERROR('October 1, 2027'!T8/'October 1, 2026'!T8,"")</f>
        <v>1.0299928926794599</v>
      </c>
    </row>
    <row r="9" spans="1:21" x14ac:dyDescent="0.4">
      <c r="A9" s="94" t="s">
        <v>118</v>
      </c>
      <c r="B9" s="95" t="s">
        <v>119</v>
      </c>
      <c r="C9" s="94" t="s">
        <v>11</v>
      </c>
      <c r="D9" s="96" t="s">
        <v>177</v>
      </c>
      <c r="E9" s="94">
        <v>280</v>
      </c>
      <c r="F9" s="94">
        <v>6</v>
      </c>
      <c r="G9" s="94" t="s">
        <v>13</v>
      </c>
      <c r="H9" s="97">
        <f>O9</f>
        <v>41.084354413960007</v>
      </c>
      <c r="I9" s="152"/>
      <c r="L9" s="80" t="s">
        <v>206</v>
      </c>
      <c r="M9" s="99" t="str">
        <f t="shared" ref="M9:M14" si="2">C9</f>
        <v>07300C</v>
      </c>
      <c r="N9" s="81" t="s">
        <v>119</v>
      </c>
      <c r="O9" s="100">
        <f t="shared" si="0"/>
        <v>41.084354413960007</v>
      </c>
      <c r="P9" s="141"/>
      <c r="Q9" s="101" t="str">
        <f t="shared" si="1"/>
        <v>Y</v>
      </c>
      <c r="R9" s="101" t="str">
        <f t="shared" si="1"/>
        <v>07300C</v>
      </c>
      <c r="S9" s="92" t="str">
        <f t="shared" si="1"/>
        <v>03</v>
      </c>
      <c r="T9" s="102">
        <f>ROUND(O9,3)</f>
        <v>41.084000000000003</v>
      </c>
      <c r="U9" s="157">
        <f>IFERROR('October 1, 2027'!T9/'October 1, 2026'!T9,"")</f>
        <v>1.0299839550742078</v>
      </c>
    </row>
    <row r="10" spans="1:21" x14ac:dyDescent="0.4">
      <c r="A10" s="94" t="s">
        <v>118</v>
      </c>
      <c r="B10" s="95" t="s">
        <v>121</v>
      </c>
      <c r="C10" s="94" t="s">
        <v>144</v>
      </c>
      <c r="D10" s="96" t="s">
        <v>178</v>
      </c>
      <c r="E10" s="94">
        <v>335</v>
      </c>
      <c r="F10" s="94">
        <v>7</v>
      </c>
      <c r="G10" s="94" t="s">
        <v>13</v>
      </c>
      <c r="H10" s="97">
        <f t="shared" ref="H10:H14" si="3">O10</f>
        <v>44.42801416196</v>
      </c>
      <c r="I10" s="152"/>
      <c r="L10" s="80" t="s">
        <v>206</v>
      </c>
      <c r="M10" s="99" t="str">
        <f t="shared" si="2"/>
        <v>59400C</v>
      </c>
      <c r="N10" s="81" t="s">
        <v>121</v>
      </c>
      <c r="O10" s="100">
        <f t="shared" si="0"/>
        <v>44.42801416196</v>
      </c>
      <c r="P10" s="141"/>
      <c r="Q10" s="101" t="str">
        <f t="shared" si="1"/>
        <v>Y</v>
      </c>
      <c r="R10" s="101" t="str">
        <f t="shared" si="1"/>
        <v>59400C</v>
      </c>
      <c r="S10" s="92" t="str">
        <f t="shared" si="1"/>
        <v>08</v>
      </c>
      <c r="T10" s="102">
        <f t="shared" ref="T10:T14" si="4">ROUND(O10,3)</f>
        <v>44.427999999999997</v>
      </c>
      <c r="U10" s="157">
        <f>IFERROR('October 1, 2027'!T10/'October 1, 2026'!T10,"")</f>
        <v>1.0299995363286503</v>
      </c>
    </row>
    <row r="11" spans="1:21" x14ac:dyDescent="0.4">
      <c r="A11" s="94" t="s">
        <v>118</v>
      </c>
      <c r="B11" s="95" t="s">
        <v>120</v>
      </c>
      <c r="C11" s="94" t="s">
        <v>18</v>
      </c>
      <c r="D11" s="96" t="s">
        <v>19</v>
      </c>
      <c r="E11" s="94">
        <v>193</v>
      </c>
      <c r="F11" s="94">
        <v>4</v>
      </c>
      <c r="G11" s="94" t="s">
        <v>13</v>
      </c>
      <c r="H11" s="97">
        <f t="shared" si="3"/>
        <v>39.367558081280002</v>
      </c>
      <c r="I11" s="152"/>
      <c r="L11" s="80" t="s">
        <v>206</v>
      </c>
      <c r="M11" s="99" t="str">
        <f>C11</f>
        <v>09330C</v>
      </c>
      <c r="N11" s="81" t="s">
        <v>120</v>
      </c>
      <c r="O11" s="100">
        <f t="shared" si="0"/>
        <v>39.367558081280002</v>
      </c>
      <c r="P11" s="141"/>
      <c r="Q11" s="101" t="str">
        <f t="shared" si="1"/>
        <v>Y</v>
      </c>
      <c r="R11" s="101" t="str">
        <f t="shared" si="1"/>
        <v>09330C</v>
      </c>
      <c r="S11" s="92" t="str">
        <f t="shared" si="1"/>
        <v>02</v>
      </c>
      <c r="T11" s="102">
        <f t="shared" si="4"/>
        <v>39.368000000000002</v>
      </c>
      <c r="U11" s="157">
        <f>IFERROR('October 1, 2027'!T11/'October 1, 2026'!T11,"")</f>
        <v>1.0300096805421106</v>
      </c>
    </row>
    <row r="12" spans="1:21" x14ac:dyDescent="0.4">
      <c r="A12" s="94" t="s">
        <v>118</v>
      </c>
      <c r="B12" s="95" t="s">
        <v>119</v>
      </c>
      <c r="C12" s="94" t="s">
        <v>20</v>
      </c>
      <c r="D12" s="96" t="s">
        <v>21</v>
      </c>
      <c r="E12" s="94">
        <v>273</v>
      </c>
      <c r="F12" s="94">
        <v>6</v>
      </c>
      <c r="G12" s="94" t="s">
        <v>13</v>
      </c>
      <c r="H12" s="97">
        <f t="shared" si="3"/>
        <v>41.084354413960007</v>
      </c>
      <c r="I12" s="152"/>
      <c r="L12" s="80" t="s">
        <v>206</v>
      </c>
      <c r="M12" s="99" t="str">
        <f t="shared" si="2"/>
        <v>09340C</v>
      </c>
      <c r="N12" s="81" t="s">
        <v>119</v>
      </c>
      <c r="O12" s="100">
        <f t="shared" si="0"/>
        <v>41.084354413960007</v>
      </c>
      <c r="P12" s="141"/>
      <c r="Q12" s="101" t="str">
        <f t="shared" si="1"/>
        <v>Y</v>
      </c>
      <c r="R12" s="101" t="str">
        <f t="shared" si="1"/>
        <v>09340C</v>
      </c>
      <c r="S12" s="92" t="str">
        <f t="shared" si="1"/>
        <v>03</v>
      </c>
      <c r="T12" s="102">
        <f t="shared" si="4"/>
        <v>41.084000000000003</v>
      </c>
      <c r="U12" s="157">
        <f>IFERROR('October 1, 2027'!T12/'October 1, 2026'!T12,"")</f>
        <v>1.0299839550742078</v>
      </c>
    </row>
    <row r="13" spans="1:21" x14ac:dyDescent="0.4">
      <c r="A13" s="94" t="s">
        <v>118</v>
      </c>
      <c r="B13" s="95" t="s">
        <v>121</v>
      </c>
      <c r="C13" s="94" t="s">
        <v>72</v>
      </c>
      <c r="D13" s="96" t="s">
        <v>98</v>
      </c>
      <c r="E13" s="94">
        <v>335</v>
      </c>
      <c r="F13" s="94">
        <v>7</v>
      </c>
      <c r="G13" s="94" t="s">
        <v>13</v>
      </c>
      <c r="H13" s="97">
        <f t="shared" si="3"/>
        <v>44.428568345664786</v>
      </c>
      <c r="I13" s="152"/>
      <c r="L13" s="80" t="s">
        <v>206</v>
      </c>
      <c r="M13" s="99" t="str">
        <f t="shared" si="2"/>
        <v>09345C</v>
      </c>
      <c r="N13" s="81" t="s">
        <v>121</v>
      </c>
      <c r="O13" s="100">
        <f t="shared" si="0"/>
        <v>44.428568345664786</v>
      </c>
      <c r="P13" s="141"/>
      <c r="Q13" s="101" t="str">
        <f t="shared" si="1"/>
        <v>Y</v>
      </c>
      <c r="R13" s="101" t="str">
        <f t="shared" si="1"/>
        <v>09345C</v>
      </c>
      <c r="S13" s="92" t="str">
        <f t="shared" si="1"/>
        <v>08</v>
      </c>
      <c r="T13" s="102">
        <f t="shared" si="4"/>
        <v>44.429000000000002</v>
      </c>
      <c r="U13" s="157">
        <f>IFERROR('October 1, 2027'!T13/'October 1, 2026'!T13,"")</f>
        <v>1.029998840848499</v>
      </c>
    </row>
    <row r="14" spans="1:21" x14ac:dyDescent="0.4">
      <c r="A14" s="94" t="s">
        <v>118</v>
      </c>
      <c r="B14" s="95" t="s">
        <v>231</v>
      </c>
      <c r="C14" s="94" t="s">
        <v>74</v>
      </c>
      <c r="D14" s="96" t="s">
        <v>99</v>
      </c>
      <c r="E14" s="94">
        <v>288</v>
      </c>
      <c r="F14" s="94">
        <v>6</v>
      </c>
      <c r="G14" s="94" t="s">
        <v>13</v>
      </c>
      <c r="H14" s="97">
        <f t="shared" si="3"/>
        <v>42.258094284119998</v>
      </c>
      <c r="I14" s="152"/>
      <c r="L14" s="80" t="s">
        <v>206</v>
      </c>
      <c r="M14" s="99" t="str">
        <f t="shared" si="2"/>
        <v>10859C</v>
      </c>
      <c r="N14" s="81" t="s">
        <v>231</v>
      </c>
      <c r="O14" s="100">
        <f t="shared" si="0"/>
        <v>42.258094284119998</v>
      </c>
      <c r="P14" s="141"/>
      <c r="Q14" s="101" t="str">
        <f t="shared" si="1"/>
        <v>Y</v>
      </c>
      <c r="R14" s="101" t="str">
        <f t="shared" si="1"/>
        <v>10859C</v>
      </c>
      <c r="S14" s="92" t="str">
        <f t="shared" si="1"/>
        <v>12</v>
      </c>
      <c r="T14" s="102">
        <f t="shared" si="4"/>
        <v>42.258000000000003</v>
      </c>
      <c r="U14" s="157">
        <f>IFERROR('October 1, 2027'!T14/'October 1, 2026'!T14,"")</f>
        <v>1.0300046310965949</v>
      </c>
    </row>
    <row r="15" spans="1:21" x14ac:dyDescent="0.4">
      <c r="A15" s="103"/>
      <c r="B15" s="103"/>
      <c r="C15" s="86"/>
      <c r="D15" s="86"/>
      <c r="E15" s="103"/>
      <c r="F15" s="103"/>
      <c r="G15" s="103"/>
      <c r="H15" s="103"/>
      <c r="I15" s="103"/>
      <c r="J15" s="103"/>
      <c r="P15" s="141"/>
      <c r="U15" s="157" t="str">
        <f>IFERROR('October 1, 2027'!T15/'October 1, 2026'!T15,"")</f>
        <v/>
      </c>
    </row>
    <row r="16" spans="1:21" x14ac:dyDescent="0.4">
      <c r="A16" s="137" t="s">
        <v>207</v>
      </c>
      <c r="B16" s="79"/>
      <c r="C16" s="94"/>
      <c r="D16" s="104"/>
      <c r="E16" s="105"/>
      <c r="F16" s="106"/>
      <c r="P16" s="141"/>
      <c r="U16" s="157" t="str">
        <f>IFERROR('October 1, 2027'!T16/'October 1, 2026'!T16,"")</f>
        <v/>
      </c>
    </row>
    <row r="17" spans="1:21" x14ac:dyDescent="0.4">
      <c r="A17" s="138" t="s">
        <v>35</v>
      </c>
      <c r="H17" s="79"/>
      <c r="P17" s="141"/>
      <c r="U17" s="157" t="str">
        <f>IFERROR('October 1, 2027'!T17/'October 1, 2026'!T17,"")</f>
        <v/>
      </c>
    </row>
    <row r="18" spans="1:21" x14ac:dyDescent="0.4">
      <c r="A18" s="139" t="str">
        <f>"Provided that an additional "&amp;TEXT(O18,"$0.00")&amp;" per hour shall be paid, for all hours worked to employees whose regularly scheduled shift begins"</f>
        <v>Provided that an additional $2.13 per hour shall be paid, for all hours worked to employees whose regularly scheduled shift begins</v>
      </c>
      <c r="H18" s="79"/>
      <c r="L18" s="80" t="s">
        <v>206</v>
      </c>
      <c r="M18" s="80" t="s">
        <v>147</v>
      </c>
      <c r="N18" s="81" t="s">
        <v>148</v>
      </c>
      <c r="O18" s="100">
        <f t="shared" ref="O18:O19" si="5">(IF(L18="Y",VLOOKUP(M18,DataOct26,3,0)*IncrPerc2024,VLOOKUP(M18,DataOct26,3,0)))</f>
        <v>2.1276742069813226</v>
      </c>
      <c r="P18" s="141"/>
      <c r="Q18" s="101" t="str">
        <f t="shared" ref="Q18:S19" si="6">L18</f>
        <v>Y</v>
      </c>
      <c r="R18" s="93" t="str">
        <f t="shared" si="6"/>
        <v>CSEAM1</v>
      </c>
      <c r="S18" s="93" t="str">
        <f t="shared" si="6"/>
        <v>TL-Morning Shift Premium CSE</v>
      </c>
      <c r="T18" s="102">
        <f>ROUND(O18,2)</f>
        <v>2.13</v>
      </c>
      <c r="U18" s="157">
        <f>IFERROR('October 1, 2027'!T18/'October 1, 2026'!T18,"")</f>
        <v>1.0309777347531461</v>
      </c>
    </row>
    <row r="19" spans="1:21" x14ac:dyDescent="0.4">
      <c r="A19" s="139" t="s">
        <v>208</v>
      </c>
      <c r="H19" s="79"/>
      <c r="L19" s="80" t="s">
        <v>206</v>
      </c>
      <c r="M19" s="80" t="s">
        <v>149</v>
      </c>
      <c r="N19" s="81" t="s">
        <v>150</v>
      </c>
      <c r="O19" s="100">
        <f t="shared" si="5"/>
        <v>2.1276742069813226</v>
      </c>
      <c r="P19" s="141"/>
      <c r="Q19" s="101" t="str">
        <f t="shared" si="6"/>
        <v>Y</v>
      </c>
      <c r="R19" s="93" t="str">
        <f t="shared" si="6"/>
        <v>CSEEVE</v>
      </c>
      <c r="S19" s="93" t="str">
        <f t="shared" si="6"/>
        <v>TL-Evening Shift Premium-CSE</v>
      </c>
      <c r="T19" s="102">
        <f>ROUND(O19,2)</f>
        <v>2.13</v>
      </c>
      <c r="U19" s="157">
        <f>IFERROR('October 1, 2027'!T19/'October 1, 2026'!T19,"")</f>
        <v>1.0309777347531461</v>
      </c>
    </row>
    <row r="20" spans="1:21" x14ac:dyDescent="0.4">
      <c r="A20" s="139" t="str">
        <f>"For the Property Services shift that is scheduled from 11:00 p.m. - 7:00 a.m., a premium of  "&amp;TEXT(O20,"$0.00")&amp;" per hour shall be paid, for all hours worked ."</f>
        <v>For the Property Services shift that is scheduled from 11:00 p.m. - 7:00 a.m., a premium of  $2.65 per hour shall be paid, for all hours worked .</v>
      </c>
      <c r="H20" s="79"/>
      <c r="L20" s="80" t="s">
        <v>206</v>
      </c>
      <c r="M20" s="160" t="s">
        <v>261</v>
      </c>
      <c r="N20" s="161" t="s">
        <v>262</v>
      </c>
      <c r="O20" s="100">
        <f>'October 1, 2026'!O20*'October 1, 2027'!IncrPerc2024</f>
        <v>2.6522500000000004</v>
      </c>
      <c r="P20" s="141"/>
      <c r="Q20" s="101" t="s">
        <v>206</v>
      </c>
      <c r="R20" s="160" t="s">
        <v>261</v>
      </c>
      <c r="S20" s="161" t="s">
        <v>262</v>
      </c>
      <c r="T20" s="102">
        <f>ROUND(O20,2)</f>
        <v>2.65</v>
      </c>
      <c r="U20" s="157">
        <f>IFERROR('October 1, 2027'!T20/'October 1, 2026'!T20,"")</f>
        <v>1.029126213592233</v>
      </c>
    </row>
    <row r="21" spans="1:21" x14ac:dyDescent="0.4">
      <c r="A21" s="96"/>
      <c r="H21" s="79"/>
      <c r="P21" s="141"/>
      <c r="R21" s="93"/>
      <c r="S21" s="93"/>
      <c r="T21" s="102"/>
      <c r="U21" s="157"/>
    </row>
    <row r="22" spans="1:21" x14ac:dyDescent="0.4">
      <c r="A22" s="151" t="s">
        <v>38</v>
      </c>
      <c r="H22" s="79"/>
      <c r="P22" s="141"/>
      <c r="R22" s="93"/>
      <c r="S22" s="93"/>
      <c r="T22" s="102"/>
      <c r="U22" s="157" t="str">
        <f>IFERROR('October 1, 2027'!T22/'October 1, 2026'!T22,"")</f>
        <v/>
      </c>
    </row>
    <row r="23" spans="1:21" x14ac:dyDescent="0.4">
      <c r="A23" s="139" t="s">
        <v>180</v>
      </c>
      <c r="H23" s="79"/>
      <c r="P23" s="141"/>
      <c r="R23" s="93"/>
      <c r="S23" s="93"/>
      <c r="T23" s="102"/>
      <c r="U23" s="157" t="str">
        <f>IFERROR('October 1, 2027'!T23/'October 1, 2026'!T23,"")</f>
        <v/>
      </c>
    </row>
    <row r="24" spans="1:21" x14ac:dyDescent="0.4">
      <c r="A24" s="140" t="s">
        <v>81</v>
      </c>
      <c r="C24" s="96" t="str">
        <f>"For all hours worked on shifts that begin between 6:00 a.m. and 1:59 p.m., employees shall be paid a premium of "&amp;TEXT(O24,"$0.00")&amp;" per hour."</f>
        <v>For all hours worked on shifts that begin between 6:00 a.m. and 1:59 p.m., employees shall be paid a premium of $1.80 per hour.</v>
      </c>
      <c r="H24" s="79"/>
      <c r="L24" s="80" t="s">
        <v>206</v>
      </c>
      <c r="M24" s="80" t="s">
        <v>151</v>
      </c>
      <c r="N24" s="81" t="s">
        <v>152</v>
      </c>
      <c r="O24" s="100">
        <f t="shared" ref="O24:O26" si="7">(IF(L24="Y",VLOOKUP(M24,DataOct26,3,0)*IncrPerc2024,VLOOKUP(M24,DataOct26,3,0)))</f>
        <v>1.7962936985167652</v>
      </c>
      <c r="P24" s="141"/>
      <c r="Q24" s="101" t="str">
        <f t="shared" ref="Q24:S26" si="8">L24</f>
        <v>Y</v>
      </c>
      <c r="R24" s="93" t="str">
        <f t="shared" si="8"/>
        <v>CSEWK1</v>
      </c>
      <c r="S24" s="93" t="str">
        <f t="shared" si="8"/>
        <v>TL-Sat/Sun1st Shift CSE</v>
      </c>
      <c r="T24" s="102">
        <f t="shared" ref="T24:T26" si="9">ROUND(O24,2)</f>
        <v>1.8</v>
      </c>
      <c r="U24" s="157">
        <f>IFERROR('October 1, 2027'!T24/'October 1, 2026'!T24,"")</f>
        <v>1.0321100917431192</v>
      </c>
    </row>
    <row r="25" spans="1:21" x14ac:dyDescent="0.4">
      <c r="A25" s="140" t="s">
        <v>82</v>
      </c>
      <c r="C25" s="96" t="str">
        <f>"For all hours worked on shifts that begin between 2:00 p.m. and 8:59 p.m., employees shall be paid a premium of "&amp;TEXT(O25,"$0.00")&amp;" per hour."</f>
        <v>For all hours worked on shifts that begin between 2:00 p.m. and 8:59 p.m., employees shall be paid a premium of $2.40 per hour.</v>
      </c>
      <c r="H25" s="79"/>
      <c r="L25" s="80" t="s">
        <v>206</v>
      </c>
      <c r="M25" s="80" t="s">
        <v>153</v>
      </c>
      <c r="N25" s="81" t="s">
        <v>154</v>
      </c>
      <c r="O25" s="100">
        <f t="shared" si="7"/>
        <v>2.3950582646890202</v>
      </c>
      <c r="P25" s="141"/>
      <c r="Q25" s="101" t="str">
        <f t="shared" si="8"/>
        <v>Y</v>
      </c>
      <c r="R25" s="93" t="str">
        <f t="shared" si="8"/>
        <v>CSEWK2</v>
      </c>
      <c r="S25" s="93" t="str">
        <f t="shared" si="8"/>
        <v>TL-Sat/Sun 2ndt Shift CSE</v>
      </c>
      <c r="T25" s="102">
        <f t="shared" si="9"/>
        <v>2.4</v>
      </c>
      <c r="U25" s="157">
        <f>IFERROR('October 1, 2027'!T25/'October 1, 2026'!T25,"")</f>
        <v>1.032258064516129</v>
      </c>
    </row>
    <row r="26" spans="1:21" x14ac:dyDescent="0.4">
      <c r="A26" s="140" t="s">
        <v>209</v>
      </c>
      <c r="C26" s="96" t="str">
        <f>"For all hours worked on shifts that begin between 9:00 p.m. and 5:59 a.m., employees shall be paid a premium of "&amp;TEXT(O26,"$0.00")&amp;" per hour."</f>
        <v>For all hours worked on shifts that begin between 9:00 p.m. and 5:59 a.m., employees shall be paid a premium of $2.73 per hour.</v>
      </c>
      <c r="H26" s="79"/>
      <c r="L26" s="80" t="s">
        <v>206</v>
      </c>
      <c r="M26" s="80" t="s">
        <v>155</v>
      </c>
      <c r="N26" s="81" t="s">
        <v>156</v>
      </c>
      <c r="O26" s="100">
        <f t="shared" si="7"/>
        <v>2.7277052458958284</v>
      </c>
      <c r="P26" s="141"/>
      <c r="Q26" s="101" t="str">
        <f t="shared" si="8"/>
        <v>Y</v>
      </c>
      <c r="R26" s="93" t="str">
        <f t="shared" si="8"/>
        <v>CSEWK3</v>
      </c>
      <c r="S26" s="93" t="str">
        <f t="shared" si="8"/>
        <v>TL-Sat/Sun 3rd Shift CSE</v>
      </c>
      <c r="T26" s="102">
        <f t="shared" si="9"/>
        <v>2.73</v>
      </c>
      <c r="U26" s="157">
        <f>IFERROR('October 1, 2027'!T26/'October 1, 2026'!T26,"")</f>
        <v>1.0309667673716012</v>
      </c>
    </row>
    <row r="27" spans="1:21" x14ac:dyDescent="0.4">
      <c r="A27" s="139" t="s">
        <v>84</v>
      </c>
      <c r="C27" s="109"/>
      <c r="H27" s="79"/>
      <c r="P27" s="141"/>
      <c r="R27" s="93"/>
      <c r="S27" s="93"/>
      <c r="T27" s="93"/>
      <c r="U27" s="157" t="str">
        <f>IFERROR('October 1, 2027'!T27/'October 1, 2026'!T27,"")</f>
        <v/>
      </c>
    </row>
    <row r="28" spans="1:21" x14ac:dyDescent="0.4">
      <c r="A28" s="96"/>
      <c r="C28" s="109"/>
      <c r="H28" s="79"/>
      <c r="P28" s="141"/>
      <c r="R28" s="93"/>
      <c r="S28" s="93"/>
      <c r="T28" s="93"/>
      <c r="U28" s="157" t="str">
        <f>IFERROR('October 1, 2027'!T28/'October 1, 2026'!T28,"")</f>
        <v/>
      </c>
    </row>
    <row r="29" spans="1:21" x14ac:dyDescent="0.4">
      <c r="A29" s="110" t="s">
        <v>85</v>
      </c>
      <c r="C29" s="109"/>
      <c r="H29" s="79"/>
      <c r="P29" s="141"/>
      <c r="R29" s="93"/>
      <c r="S29" s="93"/>
      <c r="T29" s="93"/>
      <c r="U29" s="157" t="str">
        <f>IFERROR('October 1, 2027'!T29/'October 1, 2026'!T29,"")</f>
        <v/>
      </c>
    </row>
    <row r="30" spans="1:21" ht="14.25" x14ac:dyDescent="0.45">
      <c r="A30" s="108" t="s">
        <v>210</v>
      </c>
      <c r="H30" s="79"/>
      <c r="K30" s="111"/>
      <c r="L30" s="112"/>
      <c r="P30" s="141"/>
      <c r="R30" s="93"/>
      <c r="S30" s="93"/>
      <c r="T30" s="93"/>
      <c r="U30" s="157" t="str">
        <f>IFERROR('October 1, 2027'!T30/'October 1, 2026'!T30,"")</f>
        <v/>
      </c>
    </row>
    <row r="31" spans="1:21" x14ac:dyDescent="0.4">
      <c r="A31" s="108" t="str">
        <f>"Maintenance Engineer I's &amp; II's, who are certified for EPA Universal CFC Refrigeration shall be paid "&amp;TEXT(O31,"$0.00")&amp;" per hour for all hours paid."</f>
        <v>Maintenance Engineer I's &amp; II's, who are certified for EPA Universal CFC Refrigeration shall be paid $1.00 per hour for all hours paid.</v>
      </c>
      <c r="B31" s="86"/>
      <c r="D31" s="86"/>
      <c r="G31" s="113"/>
      <c r="L31" s="80" t="s">
        <v>10</v>
      </c>
      <c r="M31" s="80" t="s">
        <v>157</v>
      </c>
      <c r="N31" s="81" t="s">
        <v>158</v>
      </c>
      <c r="O31" s="100">
        <f t="shared" ref="O31" si="10">(IF(L31="Y",VLOOKUP(M31,DataOct26,3,0)*IncrPerc2024,VLOOKUP(M31,DataOct26,3,0)))</f>
        <v>1</v>
      </c>
      <c r="P31" s="141"/>
      <c r="Q31" s="101" t="str">
        <f t="shared" ref="Q31:S31" si="11">L31</f>
        <v>N</v>
      </c>
      <c r="R31" s="93" t="str">
        <f t="shared" si="11"/>
        <v>CSEEPA</v>
      </c>
      <c r="S31" s="93" t="str">
        <f t="shared" si="11"/>
        <v>EPA Univ CFC Refrigeration</v>
      </c>
      <c r="T31" s="93">
        <f>ROUND(O31,2)</f>
        <v>1</v>
      </c>
      <c r="U31" s="157">
        <f>IFERROR('October 1, 2027'!T31/'October 1, 2026'!T31,"")</f>
        <v>1</v>
      </c>
    </row>
    <row r="32" spans="1:21" x14ac:dyDescent="0.4">
      <c r="A32" s="108"/>
      <c r="B32" s="86"/>
      <c r="D32" s="86"/>
      <c r="G32" s="113"/>
      <c r="N32" s="114"/>
      <c r="O32" s="115"/>
      <c r="P32" s="141"/>
      <c r="R32" s="93"/>
      <c r="S32" s="93"/>
      <c r="T32" s="93"/>
      <c r="U32" s="157" t="str">
        <f>IFERROR('October 1, 2027'!T32/'October 1, 2026'!T32,"")</f>
        <v/>
      </c>
    </row>
    <row r="33" spans="1:21" x14ac:dyDescent="0.4">
      <c r="A33" s="108" t="s">
        <v>211</v>
      </c>
      <c r="H33" s="79"/>
      <c r="K33" s="86"/>
      <c r="L33" s="116"/>
      <c r="P33" s="141"/>
      <c r="R33" s="93"/>
      <c r="S33" s="93"/>
      <c r="T33" s="93"/>
      <c r="U33" s="157" t="str">
        <f>IFERROR('October 1, 2027'!T33/'October 1, 2026'!T33,"")</f>
        <v/>
      </c>
    </row>
    <row r="34" spans="1:21" x14ac:dyDescent="0.4">
      <c r="A34" s="108" t="s">
        <v>212</v>
      </c>
      <c r="P34" s="141"/>
      <c r="R34" s="93"/>
      <c r="S34" s="93"/>
      <c r="T34" s="93"/>
      <c r="U34" s="157" t="str">
        <f>IFERROR('October 1, 2027'!T34/'October 1, 2026'!T34,"")</f>
        <v/>
      </c>
    </row>
    <row r="35" spans="1:21" x14ac:dyDescent="0.4">
      <c r="A35" s="117" t="str">
        <f>TEXT(O35,"$0.00")&amp;" per hour for all hours paid."</f>
        <v>$1.00 per hour for all hours paid.</v>
      </c>
      <c r="H35" s="79"/>
      <c r="L35" s="80" t="s">
        <v>10</v>
      </c>
      <c r="M35" s="80" t="s">
        <v>159</v>
      </c>
      <c r="N35" s="81" t="s">
        <v>160</v>
      </c>
      <c r="O35" s="100">
        <f>(IF(L35="Y",VLOOKUP(M35,DataJan2024,3,0)*IncrPercJan2024,VLOOKUP(M35,DataJan2024,3,0)))</f>
        <v>1</v>
      </c>
      <c r="P35" s="141"/>
      <c r="Q35" s="101" t="str">
        <f t="shared" ref="Q35:S35" si="12">L35</f>
        <v>N</v>
      </c>
      <c r="R35" s="93" t="str">
        <f t="shared" si="12"/>
        <v>CSELME</v>
      </c>
      <c r="S35" s="93" t="str">
        <f t="shared" si="12"/>
        <v>Pow ltd lic/Lic Maint Elect</v>
      </c>
      <c r="T35" s="93">
        <f>ROUND(O35,2)</f>
        <v>1</v>
      </c>
      <c r="U35" s="157">
        <f>IFERROR('October 1, 2027'!T35/'October 1, 2026'!T35,"")</f>
        <v>1</v>
      </c>
    </row>
    <row r="36" spans="1:21" x14ac:dyDescent="0.4">
      <c r="A36" s="118"/>
      <c r="H36" s="79"/>
      <c r="P36" s="141"/>
      <c r="R36" s="93"/>
      <c r="S36" s="93"/>
      <c r="T36" s="93"/>
      <c r="U36" s="157" t="str">
        <f>IFERROR('October 1, 2027'!T36/'October 1, 2026'!T36,"")</f>
        <v/>
      </c>
    </row>
    <row r="37" spans="1:21" ht="12.75" customHeight="1" x14ac:dyDescent="0.4">
      <c r="A37" s="108" t="s">
        <v>213</v>
      </c>
      <c r="H37" s="79"/>
      <c r="K37" s="86"/>
      <c r="L37" s="116"/>
      <c r="P37" s="141"/>
      <c r="R37" s="93"/>
      <c r="S37" s="93"/>
      <c r="T37" s="93"/>
      <c r="U37" s="157" t="str">
        <f>IFERROR('October 1, 2027'!T37/'October 1, 2026'!T37,"")</f>
        <v/>
      </c>
    </row>
    <row r="38" spans="1:21" ht="12.75" customHeight="1" x14ac:dyDescent="0.4">
      <c r="A38" s="108" t="str">
        <f>"as 'Gas Fitters' at the discretion of management. Designated Gas Fitters shall be paid a premium of "&amp;TEXT(O38,"$0.00")&amp;" per hour for all the hours performing work that requires the certificate."</f>
        <v>as 'Gas Fitters' at the discretion of management. Designated Gas Fitters shall be paid a premium of $1.00 per hour for all the hours performing work that requires the certificate.</v>
      </c>
      <c r="H38" s="79"/>
      <c r="K38" s="86"/>
      <c r="L38" s="80" t="s">
        <v>10</v>
      </c>
      <c r="M38" s="80" t="s">
        <v>161</v>
      </c>
      <c r="N38" s="81" t="s">
        <v>162</v>
      </c>
      <c r="O38" s="100">
        <f>(IF(L38="Y",VLOOKUP(M38,DataJan2024,3,0)*IncrPercJan2024,VLOOKUP(M38,DataJan2024,3,0)))</f>
        <v>1</v>
      </c>
      <c r="P38" s="141"/>
      <c r="Q38" s="101" t="str">
        <f t="shared" ref="Q38:S38" si="13">L38</f>
        <v>N</v>
      </c>
      <c r="R38" s="93" t="str">
        <f t="shared" si="13"/>
        <v>CSEGAS</v>
      </c>
      <c r="S38" s="93" t="str">
        <f t="shared" si="13"/>
        <v>TL-Citys Gas Fitting-CSE</v>
      </c>
      <c r="T38" s="93">
        <f>ROUND(O38,2)</f>
        <v>1</v>
      </c>
      <c r="U38" s="157">
        <f>IFERROR('October 1, 2027'!T38/'October 1, 2026'!T38,"")</f>
        <v>1</v>
      </c>
    </row>
    <row r="39" spans="1:21" ht="12.75" customHeight="1" x14ac:dyDescent="0.4">
      <c r="A39" s="108"/>
      <c r="G39" s="113"/>
      <c r="P39" s="141"/>
      <c r="R39" s="93"/>
      <c r="S39" s="93"/>
      <c r="T39" s="93"/>
      <c r="U39" s="157" t="str">
        <f>IFERROR('October 1, 2027'!T39/'October 1, 2026'!T39,"")</f>
        <v/>
      </c>
    </row>
    <row r="40" spans="1:21" ht="12.75" customHeight="1" x14ac:dyDescent="0.4">
      <c r="A40" s="146" t="s">
        <v>214</v>
      </c>
      <c r="G40" s="113"/>
      <c r="P40" s="141"/>
      <c r="R40" s="93"/>
      <c r="S40" s="93"/>
      <c r="T40" s="93"/>
      <c r="U40" s="157" t="str">
        <f>IFERROR('October 1, 2027'!T40/'October 1, 2026'!T40,"")</f>
        <v/>
      </c>
    </row>
    <row r="41" spans="1:21" ht="12.75" customHeight="1" x14ac:dyDescent="0.4">
      <c r="A41" s="146" t="str">
        <f>"Certification shall be paid "&amp;TEXT(O41,"$0.00")&amp;" per hour for all hours paid."</f>
        <v>Certification shall be paid $0.20 per hour for all hours paid.</v>
      </c>
      <c r="G41" s="113"/>
      <c r="L41" s="80" t="s">
        <v>10</v>
      </c>
      <c r="M41" s="80" t="s">
        <v>163</v>
      </c>
      <c r="N41" s="81" t="s">
        <v>164</v>
      </c>
      <c r="O41" s="100">
        <f>(IF(L41="Y",VLOOKUP(M41,DataJan2024,3,0)*IncrPercJan2024,VLOOKUP(M41,DataJan2024,3,0)))</f>
        <v>0.2</v>
      </c>
      <c r="P41" s="141"/>
      <c r="Q41" s="101" t="str">
        <f t="shared" ref="Q41:S41" si="14">L41</f>
        <v>N</v>
      </c>
      <c r="R41" s="93" t="str">
        <f t="shared" si="14"/>
        <v>CSEABC</v>
      </c>
      <c r="S41" s="93" t="str">
        <f t="shared" si="14"/>
        <v>ABC Plant Mntc Tech Class 2</v>
      </c>
      <c r="T41" s="93">
        <f>ROUND(O41,2)</f>
        <v>0.2</v>
      </c>
      <c r="U41" s="157">
        <f>IFERROR('October 1, 2027'!T41/'October 1, 2026'!T41,"")</f>
        <v>1</v>
      </c>
    </row>
    <row r="42" spans="1:21" ht="12.75" customHeight="1" x14ac:dyDescent="0.4">
      <c r="A42" s="96"/>
      <c r="H42" s="79"/>
      <c r="P42" s="141"/>
      <c r="R42" s="93"/>
      <c r="S42" s="93"/>
      <c r="T42" s="93"/>
      <c r="U42" s="157" t="str">
        <f>IFERROR('October 1, 2027'!T42/'October 1, 2026'!T42,"")</f>
        <v/>
      </c>
    </row>
    <row r="43" spans="1:21" ht="12.75" customHeight="1" x14ac:dyDescent="0.4">
      <c r="A43" s="118" t="str">
        <f>"Up to a maximum of 3 certified and assigned Stationary Engineers in the Property Services Division may be paid a Fire Extinguisher"</f>
        <v>Up to a maximum of 3 certified and assigned Stationary Engineers in the Property Services Division may be paid a Fire Extinguisher</v>
      </c>
      <c r="G43" s="109"/>
      <c r="H43" s="120"/>
      <c r="L43" s="80" t="s">
        <v>10</v>
      </c>
      <c r="M43" s="80" t="s">
        <v>165</v>
      </c>
      <c r="N43" s="81" t="s">
        <v>166</v>
      </c>
      <c r="O43" s="100">
        <f>(IF(L43="Y",VLOOKUP(M43,DataJan2024,3,0)*IncrPercJan2024,VLOOKUP(M43,DataJan2024,3,0)))</f>
        <v>0.25</v>
      </c>
      <c r="P43" s="141"/>
      <c r="Q43" s="101" t="str">
        <f t="shared" ref="Q43:S43" si="15">L43</f>
        <v>N</v>
      </c>
      <c r="R43" s="93" t="str">
        <f t="shared" si="15"/>
        <v>CSEFEX</v>
      </c>
      <c r="S43" s="93" t="str">
        <f t="shared" si="15"/>
        <v>Fire Extinguisher Spec-Cert</v>
      </c>
      <c r="T43" s="93">
        <f>ROUND(O43,2)</f>
        <v>0.25</v>
      </c>
      <c r="U43" s="157">
        <f>IFERROR('October 1, 2027'!T43/'October 1, 2026'!T43,"")</f>
        <v>1</v>
      </c>
    </row>
    <row r="44" spans="1:21" ht="12.75" customHeight="1" x14ac:dyDescent="0.4">
      <c r="A44" s="118" t="str">
        <f>"Certification Premium of "&amp;TEXT(O43,"$0.00")&amp;" for all hours paid."</f>
        <v>Certification Premium of $0.25 for all hours paid.</v>
      </c>
      <c r="G44" s="109"/>
      <c r="H44" s="120"/>
      <c r="P44" s="141"/>
      <c r="R44" s="93"/>
      <c r="S44" s="93"/>
      <c r="T44" s="93"/>
      <c r="U44" s="157" t="str">
        <f>IFERROR('October 1, 2027'!T44/'October 1, 2026'!T44,"")</f>
        <v/>
      </c>
    </row>
    <row r="45" spans="1:21" ht="12.75" customHeight="1" x14ac:dyDescent="0.4">
      <c r="A45" s="121"/>
      <c r="G45" s="109"/>
      <c r="H45" s="120"/>
      <c r="P45" s="141"/>
      <c r="R45" s="93"/>
      <c r="S45" s="93"/>
      <c r="T45" s="93"/>
      <c r="U45" s="157" t="str">
        <f>IFERROR('October 1, 2027'!T45/'October 1, 2026'!T45,"")</f>
        <v/>
      </c>
    </row>
    <row r="46" spans="1:21" ht="12.75" customHeight="1" x14ac:dyDescent="0.4">
      <c r="A46" s="121" t="str">
        <f>"A qualified Water Maintenance Technician designated as Chief Engineer is eligible to receive a premium of "&amp;TEXT(O46,"$0.00")&amp;" per hour for all hours paid."</f>
        <v>A qualified Water Maintenance Technician designated as Chief Engineer is eligible to receive a premium of $3.00 per hour for all hours paid.</v>
      </c>
      <c r="G46" s="109"/>
      <c r="H46" s="120"/>
      <c r="L46" s="80" t="s">
        <v>10</v>
      </c>
      <c r="M46" s="80" t="s">
        <v>215</v>
      </c>
      <c r="N46" s="81" t="s">
        <v>216</v>
      </c>
      <c r="O46" s="100">
        <v>3</v>
      </c>
      <c r="P46" s="141"/>
      <c r="Q46" s="101" t="str">
        <f t="shared" ref="Q46:S46" si="16">L46</f>
        <v>N</v>
      </c>
      <c r="R46" s="93" t="str">
        <f t="shared" si="16"/>
        <v>CSECHE</v>
      </c>
      <c r="S46" s="93" t="str">
        <f t="shared" si="16"/>
        <v>Chief Engineer Prem</v>
      </c>
      <c r="T46" s="93">
        <f>ROUND(O46,2)</f>
        <v>3</v>
      </c>
      <c r="U46" s="157">
        <f>IFERROR('October 1, 2027'!T46/'October 1, 2026'!T46,"")</f>
        <v>1</v>
      </c>
    </row>
    <row r="47" spans="1:21" x14ac:dyDescent="0.4">
      <c r="A47" s="118" t="str">
        <f>"Employees training Maintenance Engineer Assistants shall receive a "&amp;TEXT(O47,"$4.00")&amp;" per hour for all hours spent training."</f>
        <v>Employees training Maintenance Engineer Assistants shall receive a $4.00 per hour for all hours spent training.</v>
      </c>
      <c r="D47" s="122"/>
      <c r="H47" s="79"/>
      <c r="P47" s="141"/>
      <c r="R47" s="93"/>
      <c r="S47" s="93"/>
      <c r="T47" s="93"/>
      <c r="U47" s="157" t="str">
        <f>IFERROR('October 1, 2027'!T47/'October 1, 2026'!T47,"")</f>
        <v/>
      </c>
    </row>
    <row r="48" spans="1:21" x14ac:dyDescent="0.4">
      <c r="A48" s="110" t="s">
        <v>56</v>
      </c>
      <c r="H48" s="79"/>
      <c r="L48" s="154" t="s">
        <v>10</v>
      </c>
      <c r="M48" s="154"/>
      <c r="N48" s="155" t="s">
        <v>260</v>
      </c>
      <c r="O48" s="156">
        <v>4</v>
      </c>
      <c r="P48" s="141"/>
      <c r="Q48" s="154" t="s">
        <v>10</v>
      </c>
      <c r="R48" s="154"/>
      <c r="S48" s="155" t="s">
        <v>260</v>
      </c>
      <c r="T48" s="156">
        <v>4</v>
      </c>
      <c r="U48" s="157">
        <f>IFERROR('October 1, 2027'!T48/'October 1, 2026'!T48,"")</f>
        <v>1</v>
      </c>
    </row>
    <row r="49" spans="1:21" x14ac:dyDescent="0.4">
      <c r="A49" s="96" t="s">
        <v>217</v>
      </c>
      <c r="H49" s="79"/>
      <c r="P49" s="141"/>
      <c r="R49" s="93"/>
      <c r="S49" s="93"/>
      <c r="T49" s="93"/>
      <c r="U49" s="157" t="str">
        <f>IFERROR('October 1, 2027'!T49/'October 1, 2026'!T49,"")</f>
        <v/>
      </c>
    </row>
    <row r="50" spans="1:21" x14ac:dyDescent="0.4">
      <c r="A50" s="97">
        <f>O50</f>
        <v>0.47017654911695111</v>
      </c>
      <c r="B50" s="123" t="s">
        <v>59</v>
      </c>
      <c r="H50" s="79"/>
      <c r="L50" s="80" t="s">
        <v>206</v>
      </c>
      <c r="M50" s="80" t="s">
        <v>167</v>
      </c>
      <c r="O50" s="100">
        <f t="shared" ref="O50:O58" si="17">(IF(L50="Y",VLOOKUP(M50,DataOct26,3,0)*IncrPerc2024,VLOOKUP(M50,DataOct26,3,0)))</f>
        <v>0.47017654911695111</v>
      </c>
      <c r="P50" s="141"/>
      <c r="Q50" s="101" t="str">
        <f>L50</f>
        <v>Y</v>
      </c>
      <c r="R50" s="93" t="str">
        <f>M50</f>
        <v>10th</v>
      </c>
      <c r="S50" s="93">
        <f>N50</f>
        <v>0</v>
      </c>
      <c r="T50" s="102">
        <f>ROUND(O50,3)</f>
        <v>0.47</v>
      </c>
      <c r="U50" s="157">
        <f>IFERROR('October 1, 2027'!T50/'October 1, 2026'!T50,"")</f>
        <v>1.0307017543859649</v>
      </c>
    </row>
    <row r="51" spans="1:21" x14ac:dyDescent="0.4">
      <c r="A51" s="97">
        <f t="shared" ref="A51:A53" si="18">O51</f>
        <v>0.57060932568291078</v>
      </c>
      <c r="B51" s="123" t="s">
        <v>60</v>
      </c>
      <c r="H51" s="79"/>
      <c r="L51" s="80" t="s">
        <v>206</v>
      </c>
      <c r="M51" s="80" t="s">
        <v>168</v>
      </c>
      <c r="O51" s="100">
        <f t="shared" si="17"/>
        <v>0.57060932568291078</v>
      </c>
      <c r="P51" s="141"/>
      <c r="Q51" s="101" t="str">
        <f t="shared" ref="Q51:S53" si="19">L51</f>
        <v>Y</v>
      </c>
      <c r="R51" s="93" t="str">
        <f t="shared" si="19"/>
        <v>15th</v>
      </c>
      <c r="S51" s="93">
        <f t="shared" si="19"/>
        <v>0</v>
      </c>
      <c r="T51" s="102">
        <f t="shared" ref="T51:T53" si="20">ROUND(O51,3)</f>
        <v>0.57099999999999995</v>
      </c>
      <c r="U51" s="157">
        <f>IFERROR('October 1, 2027'!T51/'October 1, 2026'!T51,"")</f>
        <v>1.0306859205776171</v>
      </c>
    </row>
    <row r="52" spans="1:21" x14ac:dyDescent="0.4">
      <c r="A52" s="97">
        <f t="shared" si="18"/>
        <v>0.67647090098216534</v>
      </c>
      <c r="B52" s="123" t="s">
        <v>61</v>
      </c>
      <c r="H52" s="79"/>
      <c r="L52" s="80" t="s">
        <v>206</v>
      </c>
      <c r="M52" s="80" t="s">
        <v>169</v>
      </c>
      <c r="O52" s="100">
        <f t="shared" si="17"/>
        <v>0.67647090098216534</v>
      </c>
      <c r="P52" s="141"/>
      <c r="Q52" s="101" t="str">
        <f t="shared" si="19"/>
        <v>Y</v>
      </c>
      <c r="R52" s="93" t="str">
        <f t="shared" si="19"/>
        <v>20th</v>
      </c>
      <c r="S52" s="93">
        <f t="shared" si="19"/>
        <v>0</v>
      </c>
      <c r="T52" s="102">
        <f t="shared" si="20"/>
        <v>0.67600000000000005</v>
      </c>
      <c r="U52" s="157">
        <f>IFERROR('October 1, 2027'!T52/'October 1, 2026'!T52,"")</f>
        <v>1.0289193302891932</v>
      </c>
    </row>
    <row r="53" spans="1:21" x14ac:dyDescent="0.4">
      <c r="A53" s="97">
        <f t="shared" si="18"/>
        <v>0.82325840000000006</v>
      </c>
      <c r="B53" s="123" t="s">
        <v>62</v>
      </c>
      <c r="C53" s="124"/>
      <c r="D53" s="124"/>
      <c r="H53" s="79"/>
      <c r="L53" s="80" t="s">
        <v>206</v>
      </c>
      <c r="M53" s="80" t="s">
        <v>170</v>
      </c>
      <c r="O53" s="100">
        <f t="shared" si="17"/>
        <v>0.82325840000000006</v>
      </c>
      <c r="P53" s="141"/>
      <c r="Q53" s="101" t="str">
        <f t="shared" si="19"/>
        <v>Y</v>
      </c>
      <c r="R53" s="93" t="str">
        <f t="shared" si="19"/>
        <v>25th</v>
      </c>
      <c r="S53" s="93">
        <f t="shared" si="19"/>
        <v>0</v>
      </c>
      <c r="T53" s="102">
        <f t="shared" si="20"/>
        <v>0.82299999999999995</v>
      </c>
      <c r="U53" s="157">
        <f>IFERROR('October 1, 2027'!T53/'October 1, 2026'!T53,"")</f>
        <v>1.0300375469336669</v>
      </c>
    </row>
    <row r="54" spans="1:21" x14ac:dyDescent="0.4">
      <c r="A54" s="125"/>
      <c r="B54" s="124"/>
      <c r="C54" s="124"/>
      <c r="D54" s="124"/>
      <c r="H54" s="79"/>
      <c r="O54" s="100"/>
      <c r="P54" s="141"/>
      <c r="R54" s="93"/>
      <c r="S54" s="93"/>
      <c r="T54" s="93"/>
      <c r="U54" s="157" t="str">
        <f>IFERROR('October 1, 2027'!T54/'October 1, 2026'!T54,"")</f>
        <v/>
      </c>
    </row>
    <row r="55" spans="1:21" x14ac:dyDescent="0.4">
      <c r="A55" s="126" t="s">
        <v>63</v>
      </c>
      <c r="B55" s="86"/>
      <c r="C55" s="86"/>
      <c r="D55" s="86"/>
      <c r="H55" s="79"/>
      <c r="J55" s="86"/>
      <c r="K55" s="86"/>
      <c r="L55" s="116"/>
      <c r="M55" s="116"/>
      <c r="O55" s="100"/>
      <c r="P55" s="141"/>
      <c r="R55" s="93"/>
      <c r="S55" s="93"/>
      <c r="T55" s="93"/>
      <c r="U55" s="157" t="str">
        <f>IFERROR('October 1, 2027'!T55/'October 1, 2026'!T55,"")</f>
        <v/>
      </c>
    </row>
    <row r="56" spans="1:21" x14ac:dyDescent="0.4">
      <c r="A56" s="78" t="s">
        <v>64</v>
      </c>
      <c r="H56" s="79"/>
      <c r="O56" s="100"/>
      <c r="P56" s="141"/>
      <c r="R56" s="93"/>
      <c r="S56" s="93"/>
      <c r="T56" s="93"/>
      <c r="U56" s="157" t="str">
        <f>IFERROR('October 1, 2027'!T56/'October 1, 2026'!T56,"")</f>
        <v/>
      </c>
    </row>
    <row r="57" spans="1:21" x14ac:dyDescent="0.4">
      <c r="A57" s="118" t="str">
        <f>TEXT(O57,"$0.00")&amp;" for each weekday the employee is on on-call"</f>
        <v>$45.00 for each weekday the employee is on on-call</v>
      </c>
      <c r="H57" s="79"/>
      <c r="K57" s="78" t="s">
        <v>250</v>
      </c>
      <c r="L57" s="80" t="s">
        <v>10</v>
      </c>
      <c r="M57" s="127" t="s">
        <v>171</v>
      </c>
      <c r="N57" s="81" t="s">
        <v>172</v>
      </c>
      <c r="O57" s="100">
        <f t="shared" si="17"/>
        <v>45</v>
      </c>
      <c r="P57" s="141"/>
      <c r="Q57" s="101" t="str">
        <f t="shared" ref="Q57:S58" si="21">L57</f>
        <v>N</v>
      </c>
      <c r="R57" s="93" t="str">
        <f t="shared" si="21"/>
        <v>CSECDY</v>
      </c>
      <c r="S57" s="93" t="str">
        <f t="shared" si="21"/>
        <v>TL-On call by the day-CSE</v>
      </c>
      <c r="T57" s="93">
        <f t="shared" ref="T57:T58" si="22">ROUND(O57,2)</f>
        <v>45</v>
      </c>
      <c r="U57" s="157">
        <f>IFERROR('October 1, 2027'!T57/'October 1, 2026'!T57,"")</f>
        <v>1</v>
      </c>
    </row>
    <row r="58" spans="1:21" x14ac:dyDescent="0.4">
      <c r="A58" s="118" t="str">
        <f>TEXT(O58,"$0.00")&amp;" for each weekend day (Saturday or Sunday) or holiday the employee is on-call"</f>
        <v>$55.00 for each weekend day (Saturday or Sunday) or holiday the employee is on-call</v>
      </c>
      <c r="H58" s="79"/>
      <c r="K58" s="78" t="s">
        <v>250</v>
      </c>
      <c r="L58" s="80" t="s">
        <v>10</v>
      </c>
      <c r="M58" s="80" t="s">
        <v>173</v>
      </c>
      <c r="N58" s="81" t="s">
        <v>174</v>
      </c>
      <c r="O58" s="100">
        <f t="shared" si="17"/>
        <v>55</v>
      </c>
      <c r="P58" s="141"/>
      <c r="Q58" s="101" t="str">
        <f t="shared" si="21"/>
        <v>N</v>
      </c>
      <c r="R58" s="93" t="str">
        <f t="shared" si="21"/>
        <v>CSECWE</v>
      </c>
      <c r="S58" s="93" t="str">
        <f t="shared" si="21"/>
        <v>TL-On call by day Weekend-CSE</v>
      </c>
      <c r="T58" s="93">
        <f t="shared" si="22"/>
        <v>55</v>
      </c>
      <c r="U58" s="157">
        <f>IFERROR('October 1, 2027'!T58/'October 1, 2026'!T58,"")</f>
        <v>1</v>
      </c>
    </row>
    <row r="59" spans="1:21" x14ac:dyDescent="0.4">
      <c r="A59" s="118" t="s">
        <v>67</v>
      </c>
      <c r="H59" s="79"/>
      <c r="O59" s="100"/>
      <c r="P59" s="141"/>
      <c r="R59" s="93"/>
      <c r="S59" s="93"/>
      <c r="T59" s="93"/>
      <c r="U59" s="157" t="str">
        <f>IFERROR('October 1, 2027'!T59/'October 1, 2026'!T59,"")</f>
        <v/>
      </c>
    </row>
    <row r="60" spans="1:21" x14ac:dyDescent="0.4">
      <c r="A60" s="118" t="s">
        <v>68</v>
      </c>
      <c r="H60" s="79"/>
      <c r="P60" s="141"/>
      <c r="R60" s="93"/>
      <c r="S60" s="93"/>
      <c r="T60" s="93"/>
      <c r="U60" s="157" t="str">
        <f>IFERROR('October 1, 2027'!T60/'October 1, 2026'!T60,"")</f>
        <v/>
      </c>
    </row>
    <row r="61" spans="1:21" x14ac:dyDescent="0.4">
      <c r="P61" s="141"/>
      <c r="R61" s="93"/>
      <c r="S61" s="93"/>
      <c r="T61" s="93"/>
      <c r="U61" s="157" t="str">
        <f>IFERROR('October 1, 2027'!T61/'October 1, 2026'!T61,"")</f>
        <v/>
      </c>
    </row>
    <row r="62" spans="1:21" x14ac:dyDescent="0.4">
      <c r="A62" s="126" t="s">
        <v>218</v>
      </c>
      <c r="P62" s="141"/>
      <c r="R62" s="93"/>
      <c r="S62" s="93"/>
      <c r="T62" s="93"/>
      <c r="U62" s="157" t="str">
        <f>IFERROR('October 1, 2027'!T62/'October 1, 2026'!T62,"")</f>
        <v/>
      </c>
    </row>
    <row r="63" spans="1:21" x14ac:dyDescent="0.4">
      <c r="A63" s="78" t="s">
        <v>219</v>
      </c>
      <c r="P63" s="141"/>
      <c r="R63" s="93"/>
      <c r="S63" s="93"/>
      <c r="T63" s="93"/>
      <c r="U63" s="157" t="str">
        <f>IFERROR('October 1, 2027'!T63/'October 1, 2026'!T63,"")</f>
        <v/>
      </c>
    </row>
    <row r="64" spans="1:21" x14ac:dyDescent="0.4">
      <c r="A64" s="78" t="s">
        <v>220</v>
      </c>
      <c r="N64" s="80"/>
      <c r="O64" s="80"/>
      <c r="P64" s="141"/>
      <c r="R64" s="93"/>
      <c r="S64" s="93"/>
      <c r="T64" s="93"/>
      <c r="U64" s="157" t="str">
        <f>IFERROR('October 1, 2027'!T64/'October 1, 2026'!T64,"")</f>
        <v/>
      </c>
    </row>
    <row r="65" spans="1:21" x14ac:dyDescent="0.4">
      <c r="A65" s="78" t="s">
        <v>221</v>
      </c>
      <c r="L65" s="80" t="s">
        <v>206</v>
      </c>
      <c r="M65" s="80" t="s">
        <v>131</v>
      </c>
      <c r="N65" s="81" t="s">
        <v>132</v>
      </c>
      <c r="O65" s="100">
        <f t="shared" ref="O65:O67" si="23">(IF(L65="Y",VLOOKUP(M65,DataOct26,3,0)*IncrPerc2024,VLOOKUP(M65,DataOct26,3,0)))</f>
        <v>3.9291544588853697</v>
      </c>
      <c r="P65" s="141"/>
      <c r="Q65" s="101" t="str">
        <f t="shared" ref="Q65:S67" si="24">L65</f>
        <v>Y</v>
      </c>
      <c r="R65" s="93" t="str">
        <f t="shared" si="24"/>
        <v>CSEW1P</v>
      </c>
      <c r="S65" s="93" t="str">
        <f t="shared" si="24"/>
        <v>Sat/Sun 1st Shft + AM/EVE Shft</v>
      </c>
      <c r="T65" s="102">
        <f t="shared" ref="T65:T67" si="25">ROUND(O65,2)</f>
        <v>3.93</v>
      </c>
      <c r="U65" s="157">
        <f>IFERROR('October 1, 2027'!T65/'October 1, 2026'!T65,"")</f>
        <v>1.0314960629921259</v>
      </c>
    </row>
    <row r="66" spans="1:21" x14ac:dyDescent="0.4">
      <c r="L66" s="80" t="s">
        <v>206</v>
      </c>
      <c r="M66" s="80" t="s">
        <v>133</v>
      </c>
      <c r="N66" s="81" t="s">
        <v>134</v>
      </c>
      <c r="O66" s="100">
        <f t="shared" si="23"/>
        <v>4.5222343772076892</v>
      </c>
      <c r="P66" s="141"/>
      <c r="Q66" s="101" t="str">
        <f t="shared" si="24"/>
        <v>Y</v>
      </c>
      <c r="R66" s="93" t="str">
        <f t="shared" si="24"/>
        <v>CSEW2P</v>
      </c>
      <c r="S66" s="93" t="str">
        <f t="shared" si="24"/>
        <v>Sat/Sun 2nd Shft + AM/EVE Shft</v>
      </c>
      <c r="T66" s="102">
        <f t="shared" si="25"/>
        <v>4.5199999999999996</v>
      </c>
      <c r="U66" s="157">
        <f>IFERROR('October 1, 2027'!T66/'October 1, 2026'!T66,"")</f>
        <v>1.029612756264237</v>
      </c>
    </row>
    <row r="67" spans="1:21" x14ac:dyDescent="0.4">
      <c r="L67" s="80" t="s">
        <v>206</v>
      </c>
      <c r="M67" s="80" t="s">
        <v>135</v>
      </c>
      <c r="N67" s="81" t="s">
        <v>136</v>
      </c>
      <c r="O67" s="100">
        <f t="shared" si="23"/>
        <v>4.8558418312639944</v>
      </c>
      <c r="P67" s="141"/>
      <c r="Q67" s="101" t="str">
        <f t="shared" si="24"/>
        <v>Y</v>
      </c>
      <c r="R67" s="93" t="str">
        <f t="shared" si="24"/>
        <v>CSEW3P</v>
      </c>
      <c r="S67" s="93" t="str">
        <f t="shared" si="24"/>
        <v>Sat/Sun 3rd Shft + AM/EVE Shft</v>
      </c>
      <c r="T67" s="102">
        <f t="shared" si="25"/>
        <v>4.8600000000000003</v>
      </c>
      <c r="U67" s="157">
        <f>IFERROR('October 1, 2027'!T67/'October 1, 2026'!T67,"")</f>
        <v>1.0318471337579618</v>
      </c>
    </row>
  </sheetData>
  <sheetProtection sheet="1" objects="1" scenarios="1"/>
  <mergeCells count="1">
    <mergeCell ref="A3:C3"/>
  </mergeCells>
  <pageMargins left="0.2" right="0.2" top="0.75" bottom="0.75" header="0.3" footer="0.3"/>
  <pageSetup fitToHeight="0" orientation="landscape" r:id="rId1"/>
  <headerFooter alignWithMargins="0">
    <oddFooter>&amp;L&amp;8Last Updated:  &amp;D&amp;R&amp;8Page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54941-E764-4E33-A3BE-0D6E5F5CACE1}">
  <dimension ref="A1:C10"/>
  <sheetViews>
    <sheetView topLeftCell="A4" workbookViewId="0">
      <selection activeCell="C18" sqref="C18"/>
    </sheetView>
  </sheetViews>
  <sheetFormatPr defaultRowHeight="12.75" x14ac:dyDescent="0.35"/>
  <cols>
    <col min="3" max="3" width="98.3984375" customWidth="1"/>
  </cols>
  <sheetData>
    <row r="1" spans="1:3" x14ac:dyDescent="0.35">
      <c r="A1" t="s">
        <v>235</v>
      </c>
      <c r="B1" t="s">
        <v>236</v>
      </c>
      <c r="C1" t="s">
        <v>237</v>
      </c>
    </row>
    <row r="2" spans="1:3" ht="102" x14ac:dyDescent="0.35">
      <c r="A2" t="s">
        <v>238</v>
      </c>
      <c r="B2" t="s">
        <v>239</v>
      </c>
      <c r="C2" s="57" t="s">
        <v>240</v>
      </c>
    </row>
    <row r="3" spans="1:3" ht="89.25" x14ac:dyDescent="0.35">
      <c r="A3" t="s">
        <v>238</v>
      </c>
      <c r="B3" t="s">
        <v>239</v>
      </c>
      <c r="C3" s="57" t="s">
        <v>241</v>
      </c>
    </row>
    <row r="4" spans="1:3" ht="89.25" x14ac:dyDescent="0.35">
      <c r="A4" t="s">
        <v>238</v>
      </c>
      <c r="B4" t="s">
        <v>239</v>
      </c>
      <c r="C4" s="57" t="s">
        <v>242</v>
      </c>
    </row>
    <row r="5" spans="1:3" ht="25.5" x14ac:dyDescent="0.35">
      <c r="A5" s="58">
        <v>43908</v>
      </c>
      <c r="B5" t="s">
        <v>239</v>
      </c>
      <c r="C5" s="57" t="s">
        <v>243</v>
      </c>
    </row>
    <row r="6" spans="1:3" x14ac:dyDescent="0.35">
      <c r="A6" s="58">
        <v>44034</v>
      </c>
      <c r="B6" t="s">
        <v>239</v>
      </c>
      <c r="C6" s="57" t="s">
        <v>244</v>
      </c>
    </row>
    <row r="7" spans="1:3" x14ac:dyDescent="0.35">
      <c r="A7" s="58">
        <v>44200</v>
      </c>
      <c r="B7" t="s">
        <v>239</v>
      </c>
      <c r="C7" s="57" t="s">
        <v>245</v>
      </c>
    </row>
    <row r="8" spans="1:3" x14ac:dyDescent="0.35">
      <c r="A8" s="58">
        <v>44473</v>
      </c>
      <c r="B8" t="s">
        <v>239</v>
      </c>
      <c r="C8" s="57" t="s">
        <v>246</v>
      </c>
    </row>
    <row r="9" spans="1:3" x14ac:dyDescent="0.35">
      <c r="A9" s="58">
        <v>45387</v>
      </c>
      <c r="B9" t="s">
        <v>247</v>
      </c>
      <c r="C9" s="57" t="s">
        <v>248</v>
      </c>
    </row>
    <row r="10" spans="1:3" x14ac:dyDescent="0.35">
      <c r="A10" s="58">
        <v>45544</v>
      </c>
      <c r="B10" t="s">
        <v>247</v>
      </c>
      <c r="C10" s="57" t="s">
        <v>249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1"/>
  <sheetViews>
    <sheetView workbookViewId="0">
      <selection activeCell="A3" sqref="A3:C3"/>
    </sheetView>
  </sheetViews>
  <sheetFormatPr defaultColWidth="9.1328125" defaultRowHeight="12.75" x14ac:dyDescent="0.35"/>
  <cols>
    <col min="1" max="1" width="11" style="1" customWidth="1"/>
    <col min="2" max="2" width="7" style="1" customWidth="1"/>
    <col min="3" max="3" width="11.73046875" style="1" customWidth="1"/>
    <col min="4" max="4" width="38.3984375" style="1" customWidth="1"/>
    <col min="5" max="5" width="6.1328125" style="1" customWidth="1"/>
    <col min="6" max="6" width="5.3984375" style="1" customWidth="1"/>
    <col min="7" max="7" width="6.73046875" style="1" customWidth="1"/>
    <col min="8" max="8" width="11.3984375" style="1" customWidth="1"/>
    <col min="9" max="9" width="12.1328125" style="1" customWidth="1"/>
    <col min="10" max="10" width="13.86328125" style="1" customWidth="1"/>
    <col min="11" max="11" width="7.265625" style="1" customWidth="1"/>
    <col min="12" max="14" width="9.1328125" style="1"/>
    <col min="15" max="15" width="28.59765625" style="1" bestFit="1" customWidth="1"/>
    <col min="16" max="16384" width="9.1328125" style="1"/>
  </cols>
  <sheetData>
    <row r="1" spans="1:12" ht="13.15" x14ac:dyDescent="0.4">
      <c r="A1" s="149" t="s">
        <v>0</v>
      </c>
      <c r="H1" s="2"/>
    </row>
    <row r="2" spans="1:12" x14ac:dyDescent="0.35">
      <c r="H2" s="2"/>
    </row>
    <row r="3" spans="1:12" ht="13.15" x14ac:dyDescent="0.4">
      <c r="A3" s="149" t="s">
        <v>69</v>
      </c>
      <c r="H3" s="2"/>
      <c r="I3" s="4"/>
      <c r="J3" s="4"/>
    </row>
    <row r="4" spans="1:12" ht="13.15" x14ac:dyDescent="0.4">
      <c r="A4" s="5" t="s">
        <v>2</v>
      </c>
      <c r="B4" s="5" t="s">
        <v>3</v>
      </c>
      <c r="C4" s="4" t="s">
        <v>4</v>
      </c>
      <c r="D4" s="4" t="s">
        <v>5</v>
      </c>
      <c r="E4" s="5" t="s">
        <v>6</v>
      </c>
      <c r="F4" s="5" t="s">
        <v>7</v>
      </c>
      <c r="G4" s="5" t="s">
        <v>8</v>
      </c>
      <c r="H4" s="5" t="s">
        <v>70</v>
      </c>
      <c r="L4" s="31"/>
    </row>
    <row r="5" spans="1:12" x14ac:dyDescent="0.35">
      <c r="A5" s="6" t="s">
        <v>10</v>
      </c>
      <c r="B5" s="2">
        <v>2</v>
      </c>
      <c r="C5" s="6" t="s">
        <v>11</v>
      </c>
      <c r="D5" s="148" t="s">
        <v>71</v>
      </c>
      <c r="E5" s="6">
        <v>253</v>
      </c>
      <c r="F5" s="6">
        <v>5</v>
      </c>
      <c r="G5" s="6" t="s">
        <v>13</v>
      </c>
      <c r="H5" s="8">
        <f>'October 2015'!H5+1.067</f>
        <v>28.383076544000005</v>
      </c>
    </row>
    <row r="6" spans="1:12" x14ac:dyDescent="0.35">
      <c r="A6" s="6" t="s">
        <v>10</v>
      </c>
      <c r="B6" s="2">
        <v>2</v>
      </c>
      <c r="C6" s="6" t="s">
        <v>18</v>
      </c>
      <c r="D6" s="7" t="s">
        <v>19</v>
      </c>
      <c r="E6" s="6">
        <v>185</v>
      </c>
      <c r="F6" s="6">
        <v>4</v>
      </c>
      <c r="G6" s="6" t="s">
        <v>13</v>
      </c>
      <c r="H6" s="8">
        <f>'October 2015'!H6+1.067</f>
        <v>27.264438464000005</v>
      </c>
    </row>
    <row r="7" spans="1:12" x14ac:dyDescent="0.35">
      <c r="A7" s="6" t="s">
        <v>10</v>
      </c>
      <c r="B7" s="2">
        <v>2</v>
      </c>
      <c r="C7" s="6" t="s">
        <v>20</v>
      </c>
      <c r="D7" s="7" t="s">
        <v>21</v>
      </c>
      <c r="E7" s="6">
        <v>245</v>
      </c>
      <c r="F7" s="6">
        <v>5</v>
      </c>
      <c r="G7" s="6" t="s">
        <v>13</v>
      </c>
      <c r="H7" s="8">
        <f>'October 2015'!H7+1.067</f>
        <v>28.383076544000005</v>
      </c>
    </row>
    <row r="8" spans="1:12" x14ac:dyDescent="0.35">
      <c r="A8" s="6" t="s">
        <v>10</v>
      </c>
      <c r="B8" s="2">
        <v>2</v>
      </c>
      <c r="C8" s="42" t="s">
        <v>72</v>
      </c>
      <c r="D8" s="148" t="s">
        <v>73</v>
      </c>
      <c r="E8" s="6">
        <v>320</v>
      </c>
      <c r="F8" s="6">
        <v>5</v>
      </c>
      <c r="G8" s="6" t="s">
        <v>13</v>
      </c>
      <c r="H8" s="8">
        <v>32.963000000000001</v>
      </c>
    </row>
    <row r="9" spans="1:12" x14ac:dyDescent="0.35">
      <c r="A9" s="42" t="s">
        <v>10</v>
      </c>
      <c r="B9" s="2">
        <v>2</v>
      </c>
      <c r="C9" s="42" t="s">
        <v>74</v>
      </c>
      <c r="D9" s="148" t="s">
        <v>75</v>
      </c>
      <c r="E9" s="6">
        <v>258</v>
      </c>
      <c r="F9" s="6">
        <v>5</v>
      </c>
      <c r="G9" s="42" t="s">
        <v>13</v>
      </c>
      <c r="H9" s="8">
        <v>28.332000000000001</v>
      </c>
    </row>
    <row r="10" spans="1:12" x14ac:dyDescent="0.35">
      <c r="A10" s="148" t="s">
        <v>76</v>
      </c>
      <c r="B10" s="2"/>
      <c r="C10" s="6"/>
      <c r="D10" s="148"/>
      <c r="E10" s="6"/>
      <c r="F10" s="6"/>
      <c r="G10" s="6"/>
      <c r="H10" s="8"/>
    </row>
    <row r="11" spans="1:12" x14ac:dyDescent="0.35">
      <c r="A11" s="7" t="s">
        <v>77</v>
      </c>
      <c r="B11" s="2"/>
      <c r="C11" s="6"/>
      <c r="D11" s="148"/>
      <c r="E11" s="6"/>
      <c r="F11" s="6"/>
      <c r="G11" s="6"/>
      <c r="H11" s="8"/>
    </row>
    <row r="12" spans="1:12" x14ac:dyDescent="0.35">
      <c r="A12" s="148" t="s">
        <v>78</v>
      </c>
      <c r="B12" s="2"/>
      <c r="C12" s="6"/>
      <c r="D12" s="148"/>
      <c r="E12" s="6"/>
      <c r="F12" s="6"/>
      <c r="G12" s="6"/>
      <c r="H12" s="8"/>
    </row>
    <row r="13" spans="1:12" x14ac:dyDescent="0.35">
      <c r="A13" s="6"/>
      <c r="B13" s="2"/>
      <c r="C13" s="6"/>
      <c r="D13" s="148"/>
      <c r="E13" s="6"/>
      <c r="F13" s="6"/>
      <c r="G13" s="6"/>
      <c r="H13" s="8"/>
    </row>
    <row r="14" spans="1:12" ht="13.15" x14ac:dyDescent="0.4">
      <c r="A14" s="12"/>
      <c r="B14" s="13"/>
      <c r="C14" s="13"/>
      <c r="D14" s="13"/>
      <c r="E14" s="13"/>
      <c r="F14" s="13"/>
      <c r="G14" s="13"/>
      <c r="H14" s="14"/>
    </row>
    <row r="15" spans="1:12" ht="13.15" x14ac:dyDescent="0.4">
      <c r="A15" s="5" t="s">
        <v>2</v>
      </c>
      <c r="B15" s="5" t="s">
        <v>3</v>
      </c>
      <c r="C15" s="4" t="s">
        <v>4</v>
      </c>
      <c r="D15" s="4" t="s">
        <v>5</v>
      </c>
      <c r="E15" s="5" t="s">
        <v>6</v>
      </c>
      <c r="F15" s="5" t="s">
        <v>7</v>
      </c>
      <c r="G15" s="5" t="s">
        <v>8</v>
      </c>
      <c r="H15" s="5" t="s">
        <v>22</v>
      </c>
      <c r="I15" s="5" t="s">
        <v>23</v>
      </c>
      <c r="J15" s="5" t="s">
        <v>24</v>
      </c>
    </row>
    <row r="16" spans="1:12" x14ac:dyDescent="0.35">
      <c r="A16" s="6" t="s">
        <v>10</v>
      </c>
      <c r="B16" s="2">
        <v>2</v>
      </c>
      <c r="C16" s="9" t="s">
        <v>25</v>
      </c>
      <c r="D16" s="32" t="s">
        <v>26</v>
      </c>
      <c r="E16" s="33">
        <v>318</v>
      </c>
      <c r="F16" s="33">
        <v>7</v>
      </c>
      <c r="G16" s="33" t="s">
        <v>13</v>
      </c>
      <c r="H16" s="32"/>
      <c r="I16" s="32"/>
      <c r="J16" s="32"/>
    </row>
    <row r="17" spans="1:15" x14ac:dyDescent="0.35">
      <c r="A17" s="6"/>
      <c r="B17" s="2"/>
      <c r="C17" s="9"/>
      <c r="D17" s="32" t="s">
        <v>27</v>
      </c>
      <c r="E17" s="32"/>
      <c r="F17" s="32"/>
      <c r="G17" s="32"/>
      <c r="H17" s="8">
        <f>'October 2015'!H14+1.067</f>
        <v>31.430033600000002</v>
      </c>
      <c r="I17" s="32"/>
      <c r="J17" s="32"/>
    </row>
    <row r="18" spans="1:15" x14ac:dyDescent="0.35">
      <c r="A18" s="6"/>
      <c r="B18" s="2"/>
      <c r="C18" s="9"/>
      <c r="D18" s="32" t="s">
        <v>28</v>
      </c>
      <c r="E18" s="32"/>
      <c r="F18" s="32"/>
      <c r="G18" s="32"/>
      <c r="H18" s="32"/>
      <c r="I18" s="8">
        <f>'October 2015'!I15+1.067</f>
        <v>31.643107520000001</v>
      </c>
      <c r="J18" s="32"/>
    </row>
    <row r="19" spans="1:15" x14ac:dyDescent="0.35">
      <c r="A19" s="6"/>
      <c r="B19" s="2"/>
      <c r="C19" s="9"/>
      <c r="D19" s="32" t="s">
        <v>29</v>
      </c>
      <c r="E19" s="32"/>
      <c r="F19" s="32"/>
      <c r="G19" s="32"/>
      <c r="H19" s="32"/>
      <c r="I19" s="32"/>
      <c r="J19" s="8">
        <f>'October 2015'!J16+1.067</f>
        <v>31.962718400000004</v>
      </c>
      <c r="N19" s="34"/>
      <c r="O19" s="34"/>
    </row>
    <row r="20" spans="1:15" s="28" customFormat="1" x14ac:dyDescent="0.35">
      <c r="A20" s="9"/>
      <c r="B20" s="10"/>
      <c r="C20" s="9"/>
      <c r="D20" s="32"/>
      <c r="E20" s="32"/>
      <c r="F20" s="32"/>
      <c r="G20" s="32"/>
      <c r="H20" s="32"/>
      <c r="I20" s="32"/>
      <c r="J20" s="32"/>
      <c r="N20" s="34"/>
      <c r="O20" s="34"/>
    </row>
    <row r="21" spans="1:15" x14ac:dyDescent="0.35">
      <c r="A21" s="6"/>
      <c r="B21" s="2"/>
      <c r="C21" s="6"/>
      <c r="D21" s="32" t="s">
        <v>30</v>
      </c>
      <c r="E21" s="32"/>
      <c r="F21" s="32"/>
      <c r="G21" s="32"/>
      <c r="H21" s="32"/>
      <c r="I21" s="32"/>
      <c r="J21" s="32"/>
      <c r="N21" s="34"/>
      <c r="O21" s="34"/>
    </row>
    <row r="22" spans="1:15" x14ac:dyDescent="0.35">
      <c r="A22" s="6"/>
      <c r="B22" s="2"/>
      <c r="C22" s="6"/>
      <c r="D22" s="32" t="s">
        <v>31</v>
      </c>
      <c r="E22" s="32"/>
      <c r="F22" s="32"/>
      <c r="G22" s="32"/>
      <c r="H22" s="32"/>
      <c r="I22" s="32"/>
      <c r="J22" s="32"/>
      <c r="N22" s="34"/>
      <c r="O22" s="34"/>
    </row>
    <row r="23" spans="1:15" x14ac:dyDescent="0.35">
      <c r="A23" s="6"/>
      <c r="B23" s="2"/>
      <c r="C23" s="6"/>
      <c r="D23" s="32" t="s">
        <v>32</v>
      </c>
      <c r="E23" s="35"/>
      <c r="F23" s="35"/>
      <c r="G23" s="35"/>
      <c r="H23" s="35"/>
      <c r="I23" s="35"/>
      <c r="J23" s="35"/>
      <c r="N23" s="34"/>
      <c r="O23" s="34"/>
    </row>
    <row r="24" spans="1:15" x14ac:dyDescent="0.35">
      <c r="A24" s="6"/>
      <c r="B24" s="2"/>
      <c r="C24" s="6"/>
      <c r="D24" s="32" t="s">
        <v>33</v>
      </c>
      <c r="E24" s="35"/>
      <c r="F24" s="35"/>
      <c r="G24" s="35"/>
      <c r="H24" s="35"/>
      <c r="I24" s="35"/>
      <c r="J24" s="35"/>
      <c r="N24" s="34"/>
      <c r="O24" s="34"/>
    </row>
    <row r="25" spans="1:15" ht="13.15" x14ac:dyDescent="0.35">
      <c r="A25" s="6"/>
      <c r="B25" s="2"/>
      <c r="C25" s="6"/>
      <c r="D25" s="23" t="s">
        <v>34</v>
      </c>
      <c r="E25" s="24"/>
      <c r="F25" s="36"/>
      <c r="G25" s="35"/>
      <c r="H25" s="35"/>
      <c r="I25" s="35"/>
      <c r="J25" s="35"/>
      <c r="N25" s="34"/>
      <c r="O25" s="34"/>
    </row>
    <row r="26" spans="1:15" ht="13.15" x14ac:dyDescent="0.35">
      <c r="A26" s="6"/>
      <c r="B26" s="2"/>
      <c r="C26" s="6"/>
      <c r="D26" s="23"/>
      <c r="E26" s="24"/>
      <c r="F26" s="36"/>
      <c r="G26" s="35"/>
      <c r="H26" s="35"/>
      <c r="I26" s="35"/>
      <c r="J26" s="35"/>
      <c r="N26" s="34"/>
      <c r="O26" s="34"/>
    </row>
    <row r="27" spans="1:15" ht="13.15" x14ac:dyDescent="0.4">
      <c r="A27" s="149" t="s">
        <v>35</v>
      </c>
      <c r="H27" s="2"/>
      <c r="N27" s="34"/>
      <c r="O27" s="34"/>
    </row>
    <row r="28" spans="1:15" ht="13.15" x14ac:dyDescent="0.4">
      <c r="A28" s="7" t="s">
        <v>79</v>
      </c>
      <c r="H28" s="2"/>
      <c r="N28" s="34"/>
      <c r="O28" s="34"/>
    </row>
    <row r="29" spans="1:15" x14ac:dyDescent="0.35">
      <c r="A29" s="7" t="s">
        <v>37</v>
      </c>
      <c r="H29" s="2"/>
      <c r="N29" s="34"/>
      <c r="O29" s="34"/>
    </row>
    <row r="30" spans="1:15" x14ac:dyDescent="0.35">
      <c r="A30" s="7"/>
      <c r="H30" s="2"/>
      <c r="N30" s="34"/>
      <c r="O30" s="34"/>
    </row>
    <row r="31" spans="1:15" ht="13.15" x14ac:dyDescent="0.4">
      <c r="A31" s="149" t="s">
        <v>38</v>
      </c>
      <c r="H31" s="2"/>
      <c r="N31" s="34"/>
      <c r="O31" s="34"/>
    </row>
    <row r="32" spans="1:15" x14ac:dyDescent="0.35">
      <c r="A32" s="148" t="s">
        <v>80</v>
      </c>
      <c r="H32" s="2"/>
      <c r="N32" s="34"/>
      <c r="O32" s="34"/>
    </row>
    <row r="33" spans="1:15" x14ac:dyDescent="0.35">
      <c r="H33" s="2"/>
      <c r="K33" s="26"/>
      <c r="N33" s="34"/>
      <c r="O33" s="34"/>
    </row>
    <row r="34" spans="1:15" ht="13.15" x14ac:dyDescent="0.4">
      <c r="A34" s="149" t="s">
        <v>81</v>
      </c>
      <c r="B34" s="7" t="s">
        <v>42</v>
      </c>
      <c r="H34" s="2"/>
      <c r="N34" s="34"/>
      <c r="O34" s="34"/>
    </row>
    <row r="35" spans="1:15" x14ac:dyDescent="0.35">
      <c r="A35" s="7"/>
      <c r="C35" s="26">
        <f>'October 2015'!C34+0.1</f>
        <v>1.1500000000000001</v>
      </c>
      <c r="D35" s="1" t="s">
        <v>43</v>
      </c>
      <c r="H35" s="2"/>
      <c r="N35" s="34"/>
      <c r="O35" s="34"/>
    </row>
    <row r="36" spans="1:15" ht="13.15" x14ac:dyDescent="0.4">
      <c r="A36" s="149" t="s">
        <v>82</v>
      </c>
      <c r="B36" s="7" t="s">
        <v>45</v>
      </c>
      <c r="H36" s="2"/>
      <c r="N36" s="34"/>
      <c r="O36" s="34"/>
    </row>
    <row r="37" spans="1:15" x14ac:dyDescent="0.35">
      <c r="A37" s="7"/>
      <c r="C37" s="26">
        <f>'October 2015'!C36+0.1</f>
        <v>1.6</v>
      </c>
      <c r="D37" s="1" t="s">
        <v>43</v>
      </c>
      <c r="H37" s="2"/>
      <c r="N37" s="34"/>
      <c r="O37" s="34"/>
    </row>
    <row r="38" spans="1:15" ht="13.15" x14ac:dyDescent="0.4">
      <c r="A38" s="149" t="s">
        <v>83</v>
      </c>
      <c r="B38" s="7" t="s">
        <v>47</v>
      </c>
      <c r="H38" s="2"/>
      <c r="N38" s="34"/>
      <c r="O38" s="34"/>
    </row>
    <row r="39" spans="1:15" x14ac:dyDescent="0.35">
      <c r="A39" s="7"/>
      <c r="C39" s="26">
        <f>'October 2015'!C38+0.1</f>
        <v>1.85</v>
      </c>
      <c r="D39" s="1" t="s">
        <v>43</v>
      </c>
      <c r="H39" s="2"/>
      <c r="N39" s="34"/>
      <c r="O39" s="34"/>
    </row>
    <row r="40" spans="1:15" x14ac:dyDescent="0.35">
      <c r="A40" s="148" t="s">
        <v>84</v>
      </c>
      <c r="C40" s="26"/>
      <c r="H40" s="2"/>
      <c r="N40" s="34"/>
      <c r="O40" s="34"/>
    </row>
    <row r="41" spans="1:15" x14ac:dyDescent="0.35">
      <c r="A41" s="7"/>
      <c r="C41" s="26"/>
      <c r="H41" s="2"/>
      <c r="N41" s="34"/>
      <c r="O41" s="34"/>
    </row>
    <row r="42" spans="1:15" ht="13.15" x14ac:dyDescent="0.4">
      <c r="A42" s="29" t="s">
        <v>85</v>
      </c>
      <c r="C42" s="26"/>
      <c r="H42" s="2"/>
      <c r="N42" s="34"/>
      <c r="O42" s="34"/>
    </row>
    <row r="43" spans="1:15" ht="13.15" x14ac:dyDescent="0.4">
      <c r="A43" s="148" t="s">
        <v>86</v>
      </c>
      <c r="H43" s="2"/>
    </row>
    <row r="44" spans="1:15" ht="13.15" x14ac:dyDescent="0.4">
      <c r="A44" s="148" t="s">
        <v>87</v>
      </c>
      <c r="B44" s="4"/>
      <c r="D44" s="4"/>
      <c r="G44" s="38">
        <v>0.5</v>
      </c>
      <c r="H44" s="17" t="s">
        <v>88</v>
      </c>
      <c r="I44" s="17"/>
      <c r="J44" s="17"/>
      <c r="M44" s="4"/>
      <c r="N44" s="4"/>
    </row>
    <row r="45" spans="1:15" ht="13.15" x14ac:dyDescent="0.4">
      <c r="A45" s="148"/>
      <c r="B45" s="4"/>
      <c r="D45" s="4"/>
      <c r="G45" s="38"/>
      <c r="H45" s="17"/>
      <c r="I45" s="17"/>
      <c r="J45" s="17"/>
      <c r="M45" s="4"/>
      <c r="N45" s="4"/>
    </row>
    <row r="46" spans="1:15" x14ac:dyDescent="0.35">
      <c r="A46" s="7"/>
      <c r="H46" s="2"/>
    </row>
    <row r="47" spans="1:15" ht="13.15" x14ac:dyDescent="0.4">
      <c r="A47" s="148" t="s">
        <v>89</v>
      </c>
      <c r="H47" s="2"/>
      <c r="K47" s="4"/>
    </row>
    <row r="48" spans="1:15" ht="13.15" x14ac:dyDescent="0.4">
      <c r="A48" s="148" t="s">
        <v>90</v>
      </c>
      <c r="G48" s="30">
        <v>1</v>
      </c>
      <c r="H48" s="17" t="s">
        <v>88</v>
      </c>
    </row>
    <row r="49" spans="1:11" x14ac:dyDescent="0.35">
      <c r="A49" s="148"/>
      <c r="G49" s="30"/>
      <c r="H49" s="17"/>
    </row>
    <row r="50" spans="1:11" x14ac:dyDescent="0.35">
      <c r="H50" s="2"/>
    </row>
    <row r="51" spans="1:11" ht="13.15" x14ac:dyDescent="0.4">
      <c r="A51" s="148" t="s">
        <v>91</v>
      </c>
      <c r="H51" s="2"/>
      <c r="K51" s="4"/>
    </row>
    <row r="52" spans="1:11" x14ac:dyDescent="0.35">
      <c r="A52" s="148" t="s">
        <v>92</v>
      </c>
    </row>
    <row r="53" spans="1:11" x14ac:dyDescent="0.35">
      <c r="A53" s="7"/>
      <c r="D53" s="41" t="s">
        <v>93</v>
      </c>
      <c r="G53" s="30">
        <v>1</v>
      </c>
      <c r="H53" s="2" t="s">
        <v>94</v>
      </c>
    </row>
    <row r="54" spans="1:11" x14ac:dyDescent="0.35">
      <c r="A54" s="7"/>
      <c r="H54" s="2"/>
    </row>
    <row r="55" spans="1:11" ht="13.15" x14ac:dyDescent="0.4">
      <c r="A55" s="27" t="s">
        <v>95</v>
      </c>
      <c r="H55" s="2"/>
    </row>
    <row r="56" spans="1:11" x14ac:dyDescent="0.35">
      <c r="A56" s="27" t="s">
        <v>96</v>
      </c>
      <c r="D56" s="40" t="s">
        <v>93</v>
      </c>
      <c r="G56" s="26">
        <v>0.5</v>
      </c>
      <c r="H56" s="39" t="s">
        <v>43</v>
      </c>
    </row>
    <row r="57" spans="1:11" x14ac:dyDescent="0.35">
      <c r="A57" s="37"/>
      <c r="H57" s="2"/>
    </row>
    <row r="58" spans="1:11" ht="13.15" x14ac:dyDescent="0.4">
      <c r="A58" s="149" t="s">
        <v>56</v>
      </c>
      <c r="H58" s="2"/>
    </row>
    <row r="59" spans="1:11" ht="13.15" x14ac:dyDescent="0.4">
      <c r="A59" s="7" t="s">
        <v>57</v>
      </c>
      <c r="H59" s="2"/>
    </row>
    <row r="60" spans="1:11" ht="13.15" x14ac:dyDescent="0.4">
      <c r="A60" s="7" t="s">
        <v>58</v>
      </c>
      <c r="H60" s="2"/>
      <c r="I60" s="4"/>
    </row>
    <row r="61" spans="1:11" x14ac:dyDescent="0.35">
      <c r="A61" s="8">
        <v>0.35336000000000006</v>
      </c>
      <c r="B61" s="15" t="s">
        <v>59</v>
      </c>
      <c r="H61" s="2"/>
    </row>
    <row r="62" spans="1:11" x14ac:dyDescent="0.35">
      <c r="A62" s="8">
        <v>0.42884000000000005</v>
      </c>
      <c r="B62" s="15" t="s">
        <v>60</v>
      </c>
      <c r="H62" s="2"/>
    </row>
    <row r="63" spans="1:11" x14ac:dyDescent="0.35">
      <c r="A63" s="8">
        <v>0.50839999999999996</v>
      </c>
      <c r="B63" s="15" t="s">
        <v>61</v>
      </c>
      <c r="H63" s="2"/>
    </row>
    <row r="64" spans="1:11" x14ac:dyDescent="0.35">
      <c r="A64" s="8">
        <v>0.58592</v>
      </c>
      <c r="B64" s="15" t="s">
        <v>62</v>
      </c>
      <c r="C64" s="18"/>
      <c r="D64" s="18"/>
      <c r="H64" s="2"/>
    </row>
    <row r="65" spans="1:12" x14ac:dyDescent="0.35">
      <c r="A65" s="8"/>
      <c r="B65" s="18"/>
      <c r="C65" s="18"/>
      <c r="D65" s="18"/>
      <c r="H65" s="2"/>
    </row>
    <row r="66" spans="1:12" ht="13.15" x14ac:dyDescent="0.4">
      <c r="A66" s="51" t="s">
        <v>63</v>
      </c>
      <c r="B66" s="4"/>
      <c r="C66" s="4"/>
      <c r="D66" s="4"/>
      <c r="H66" s="2"/>
      <c r="J66" s="4"/>
      <c r="K66" s="4"/>
      <c r="L66" s="4"/>
    </row>
    <row r="67" spans="1:12" x14ac:dyDescent="0.35">
      <c r="A67" s="1" t="s">
        <v>64</v>
      </c>
      <c r="H67" s="2"/>
    </row>
    <row r="68" spans="1:12" x14ac:dyDescent="0.35">
      <c r="A68" s="18"/>
      <c r="B68" s="1" t="s">
        <v>65</v>
      </c>
      <c r="H68" s="2"/>
    </row>
    <row r="69" spans="1:12" x14ac:dyDescent="0.35">
      <c r="B69" s="1" t="s">
        <v>66</v>
      </c>
      <c r="H69" s="2"/>
    </row>
    <row r="70" spans="1:12" x14ac:dyDescent="0.35">
      <c r="B70" s="1" t="s">
        <v>67</v>
      </c>
      <c r="H70" s="2"/>
    </row>
    <row r="71" spans="1:12" x14ac:dyDescent="0.35">
      <c r="B71" s="1" t="s">
        <v>68</v>
      </c>
      <c r="H71" s="2"/>
    </row>
  </sheetData>
  <pageMargins left="1" right="0.25" top="0.75" bottom="0.75" header="0.3" footer="0.3"/>
  <pageSetup scale="95" orientation="landscape" r:id="rId1"/>
  <headerFooter alignWithMargins="0">
    <oddFooter>&amp;C&amp;P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70"/>
  <sheetViews>
    <sheetView workbookViewId="0">
      <selection activeCell="A3" sqref="A3:C3"/>
    </sheetView>
  </sheetViews>
  <sheetFormatPr defaultColWidth="9.1328125" defaultRowHeight="12.75" x14ac:dyDescent="0.35"/>
  <cols>
    <col min="1" max="1" width="9.1328125" style="1"/>
    <col min="2" max="2" width="7" style="1" customWidth="1"/>
    <col min="3" max="3" width="9.1328125" style="1"/>
    <col min="4" max="4" width="38.3984375" style="1" customWidth="1"/>
    <col min="5" max="5" width="6.1328125" style="1" customWidth="1"/>
    <col min="6" max="6" width="15.59765625" style="1" customWidth="1"/>
    <col min="7" max="7" width="6.73046875" style="1" customWidth="1"/>
    <col min="8" max="8" width="11.59765625" style="1" customWidth="1"/>
    <col min="9" max="9" width="12.1328125" style="1" customWidth="1"/>
    <col min="10" max="10" width="11.86328125" style="1" customWidth="1"/>
    <col min="11" max="11" width="7.265625" style="1" customWidth="1"/>
    <col min="12" max="14" width="9.1328125" style="1"/>
    <col min="15" max="15" width="28.59765625" style="1" bestFit="1" customWidth="1"/>
    <col min="16" max="16384" width="9.1328125" style="1"/>
  </cols>
  <sheetData>
    <row r="1" spans="1:12" ht="13.15" x14ac:dyDescent="0.4">
      <c r="A1" s="149" t="s">
        <v>0</v>
      </c>
      <c r="H1" s="2"/>
    </row>
    <row r="2" spans="1:12" x14ac:dyDescent="0.35">
      <c r="H2" s="2"/>
    </row>
    <row r="3" spans="1:12" ht="13.15" x14ac:dyDescent="0.4">
      <c r="A3" s="149" t="s">
        <v>97</v>
      </c>
      <c r="H3" s="2"/>
      <c r="I3" s="4"/>
      <c r="J3" s="4"/>
    </row>
    <row r="4" spans="1:12" ht="13.15" x14ac:dyDescent="0.4">
      <c r="A4" s="5" t="s">
        <v>2</v>
      </c>
      <c r="B4" s="5" t="s">
        <v>3</v>
      </c>
      <c r="C4" s="4" t="s">
        <v>4</v>
      </c>
      <c r="D4" s="4" t="s">
        <v>5</v>
      </c>
      <c r="E4" s="5" t="s">
        <v>6</v>
      </c>
      <c r="F4" s="5" t="s">
        <v>7</v>
      </c>
      <c r="G4" s="5" t="s">
        <v>8</v>
      </c>
      <c r="H4" s="5" t="s">
        <v>70</v>
      </c>
      <c r="L4" s="31"/>
    </row>
    <row r="5" spans="1:12" x14ac:dyDescent="0.35">
      <c r="A5" s="6" t="s">
        <v>10</v>
      </c>
      <c r="B5" s="2">
        <v>2</v>
      </c>
      <c r="C5" s="6" t="s">
        <v>11</v>
      </c>
      <c r="D5" s="148" t="s">
        <v>71</v>
      </c>
      <c r="E5" s="6">
        <v>253</v>
      </c>
      <c r="F5" s="6">
        <v>5</v>
      </c>
      <c r="G5" s="6" t="s">
        <v>13</v>
      </c>
      <c r="H5" s="8">
        <f>'October 1 2016'!H5+0.7</f>
        <v>29.083076544000004</v>
      </c>
    </row>
    <row r="6" spans="1:12" x14ac:dyDescent="0.35">
      <c r="A6" s="6" t="s">
        <v>10</v>
      </c>
      <c r="B6" s="2">
        <v>2</v>
      </c>
      <c r="C6" s="6" t="s">
        <v>18</v>
      </c>
      <c r="D6" s="7" t="s">
        <v>19</v>
      </c>
      <c r="E6" s="6">
        <v>185</v>
      </c>
      <c r="F6" s="6">
        <v>4</v>
      </c>
      <c r="G6" s="6" t="s">
        <v>13</v>
      </c>
      <c r="H6" s="8">
        <f>'October 1 2016'!H6+0.7</f>
        <v>27.964438464000004</v>
      </c>
    </row>
    <row r="7" spans="1:12" x14ac:dyDescent="0.35">
      <c r="A7" s="6" t="s">
        <v>10</v>
      </c>
      <c r="B7" s="2">
        <v>2</v>
      </c>
      <c r="C7" s="6" t="s">
        <v>20</v>
      </c>
      <c r="D7" s="7" t="s">
        <v>21</v>
      </c>
      <c r="E7" s="6">
        <v>245</v>
      </c>
      <c r="F7" s="6">
        <v>5</v>
      </c>
      <c r="G7" s="6" t="s">
        <v>13</v>
      </c>
      <c r="H7" s="8">
        <f>'October 1 2016'!H7+0.7</f>
        <v>29.083076544000004</v>
      </c>
    </row>
    <row r="8" spans="1:12" x14ac:dyDescent="0.35">
      <c r="A8" s="6" t="s">
        <v>10</v>
      </c>
      <c r="B8" s="2">
        <v>2</v>
      </c>
      <c r="C8" s="42" t="s">
        <v>72</v>
      </c>
      <c r="D8" s="148" t="s">
        <v>98</v>
      </c>
      <c r="E8" s="6">
        <v>320</v>
      </c>
      <c r="F8" s="6">
        <v>5</v>
      </c>
      <c r="G8" s="6" t="s">
        <v>13</v>
      </c>
      <c r="H8" s="8">
        <v>32.662999999999997</v>
      </c>
    </row>
    <row r="9" spans="1:12" x14ac:dyDescent="0.35">
      <c r="A9" s="42" t="s">
        <v>10</v>
      </c>
      <c r="B9" s="2">
        <v>2</v>
      </c>
      <c r="C9" s="42" t="s">
        <v>74</v>
      </c>
      <c r="D9" s="148" t="s">
        <v>99</v>
      </c>
      <c r="E9" s="6">
        <v>258</v>
      </c>
      <c r="F9" s="6">
        <v>5</v>
      </c>
      <c r="G9" s="42" t="s">
        <v>13</v>
      </c>
      <c r="H9" s="8">
        <v>29.181999999999999</v>
      </c>
    </row>
    <row r="10" spans="1:12" x14ac:dyDescent="0.35">
      <c r="A10" s="148" t="s">
        <v>100</v>
      </c>
      <c r="B10" s="2"/>
      <c r="C10" s="42"/>
      <c r="D10" s="148"/>
      <c r="E10" s="6"/>
      <c r="F10" s="6"/>
      <c r="G10" s="42"/>
      <c r="H10" s="8"/>
    </row>
    <row r="11" spans="1:12" x14ac:dyDescent="0.35">
      <c r="A11" s="7" t="s">
        <v>77</v>
      </c>
      <c r="B11" s="2"/>
      <c r="C11" s="42"/>
      <c r="D11" s="148"/>
      <c r="E11" s="6"/>
      <c r="F11" s="6"/>
      <c r="G11" s="42"/>
      <c r="H11" s="8"/>
    </row>
    <row r="12" spans="1:12" x14ac:dyDescent="0.35">
      <c r="A12" s="42"/>
      <c r="B12" s="2"/>
      <c r="C12" s="42"/>
      <c r="D12" s="148"/>
      <c r="E12" s="6"/>
      <c r="F12" s="6"/>
      <c r="G12" s="42"/>
      <c r="H12" s="8"/>
    </row>
    <row r="13" spans="1:12" ht="13.15" x14ac:dyDescent="0.4">
      <c r="A13" s="5" t="s">
        <v>2</v>
      </c>
      <c r="B13" s="5" t="s">
        <v>3</v>
      </c>
      <c r="C13" s="4" t="s">
        <v>4</v>
      </c>
      <c r="D13" s="4" t="s">
        <v>5</v>
      </c>
      <c r="E13" s="5" t="s">
        <v>6</v>
      </c>
      <c r="F13" s="5" t="s">
        <v>7</v>
      </c>
      <c r="G13" s="5" t="s">
        <v>8</v>
      </c>
      <c r="H13" s="5" t="s">
        <v>22</v>
      </c>
      <c r="I13" s="5" t="s">
        <v>23</v>
      </c>
      <c r="J13" s="5" t="s">
        <v>24</v>
      </c>
    </row>
    <row r="14" spans="1:12" x14ac:dyDescent="0.35">
      <c r="A14" s="6" t="s">
        <v>10</v>
      </c>
      <c r="B14" s="2">
        <v>2</v>
      </c>
      <c r="C14" s="9" t="s">
        <v>25</v>
      </c>
      <c r="D14" s="32" t="s">
        <v>26</v>
      </c>
      <c r="E14" s="33">
        <v>318</v>
      </c>
      <c r="F14" s="33">
        <v>7</v>
      </c>
      <c r="G14" s="33" t="s">
        <v>13</v>
      </c>
      <c r="H14" s="32"/>
      <c r="I14" s="32"/>
      <c r="J14" s="32"/>
    </row>
    <row r="15" spans="1:12" x14ac:dyDescent="0.35">
      <c r="A15" s="6"/>
      <c r="B15" s="2"/>
      <c r="C15" s="9"/>
      <c r="D15" s="32" t="s">
        <v>27</v>
      </c>
      <c r="E15" s="32"/>
      <c r="F15" s="32"/>
      <c r="G15" s="32"/>
      <c r="H15" s="8">
        <f>'October 1 2016'!H17+0.7</f>
        <v>32.130033600000004</v>
      </c>
      <c r="I15" s="32"/>
      <c r="J15" s="32"/>
    </row>
    <row r="16" spans="1:12" x14ac:dyDescent="0.35">
      <c r="A16" s="6"/>
      <c r="B16" s="2"/>
      <c r="C16" s="9"/>
      <c r="D16" s="32" t="s">
        <v>28</v>
      </c>
      <c r="E16" s="32"/>
      <c r="F16" s="32"/>
      <c r="G16" s="32"/>
      <c r="H16" s="32"/>
      <c r="I16" s="8">
        <f>'October 1 2016'!I18+0.7</f>
        <v>32.343107520000004</v>
      </c>
      <c r="J16" s="32"/>
    </row>
    <row r="17" spans="1:15" x14ac:dyDescent="0.35">
      <c r="A17" s="6"/>
      <c r="B17" s="2"/>
      <c r="C17" s="9"/>
      <c r="D17" s="32" t="s">
        <v>29</v>
      </c>
      <c r="E17" s="32"/>
      <c r="F17" s="32"/>
      <c r="G17" s="32"/>
      <c r="H17" s="32"/>
      <c r="I17" s="32"/>
      <c r="J17" s="8">
        <f>'October 1 2016'!J19+0.7</f>
        <v>32.662718400000003</v>
      </c>
      <c r="N17" s="34"/>
      <c r="O17" s="34"/>
    </row>
    <row r="18" spans="1:15" s="28" customFormat="1" x14ac:dyDescent="0.35">
      <c r="A18" s="9"/>
      <c r="B18" s="10"/>
      <c r="C18" s="9"/>
      <c r="D18" s="32"/>
      <c r="E18" s="32"/>
      <c r="F18" s="32"/>
      <c r="G18" s="32"/>
      <c r="H18" s="32"/>
      <c r="I18" s="32"/>
      <c r="J18" s="32"/>
      <c r="N18" s="34"/>
      <c r="O18" s="34"/>
    </row>
    <row r="19" spans="1:15" x14ac:dyDescent="0.35">
      <c r="A19" s="6"/>
      <c r="B19" s="2"/>
      <c r="C19" s="6"/>
      <c r="D19" s="32" t="s">
        <v>30</v>
      </c>
      <c r="E19" s="32"/>
      <c r="F19" s="32"/>
      <c r="G19" s="32"/>
      <c r="H19" s="32"/>
      <c r="I19" s="32"/>
      <c r="J19" s="32"/>
      <c r="N19" s="34"/>
      <c r="O19" s="34"/>
    </row>
    <row r="20" spans="1:15" x14ac:dyDescent="0.35">
      <c r="A20" s="6"/>
      <c r="B20" s="2"/>
      <c r="C20" s="6"/>
      <c r="D20" s="32" t="s">
        <v>31</v>
      </c>
      <c r="E20" s="32"/>
      <c r="F20" s="32"/>
      <c r="G20" s="32"/>
      <c r="H20" s="32"/>
      <c r="I20" s="32"/>
      <c r="J20" s="32"/>
      <c r="N20" s="34"/>
      <c r="O20" s="34"/>
    </row>
    <row r="21" spans="1:15" x14ac:dyDescent="0.35">
      <c r="A21" s="6"/>
      <c r="B21" s="2"/>
      <c r="C21" s="6"/>
      <c r="D21" s="32" t="s">
        <v>32</v>
      </c>
      <c r="E21" s="35"/>
      <c r="F21" s="35"/>
      <c r="G21" s="35"/>
      <c r="H21" s="35"/>
      <c r="I21" s="35"/>
      <c r="J21" s="35"/>
      <c r="N21" s="34"/>
      <c r="O21" s="34"/>
    </row>
    <row r="22" spans="1:15" x14ac:dyDescent="0.35">
      <c r="A22" s="6"/>
      <c r="B22" s="2"/>
      <c r="C22" s="6"/>
      <c r="D22" s="32" t="s">
        <v>33</v>
      </c>
      <c r="E22" s="35"/>
      <c r="F22" s="35"/>
      <c r="G22" s="35"/>
      <c r="H22" s="35"/>
      <c r="I22" s="35"/>
      <c r="J22" s="35"/>
      <c r="N22" s="34"/>
      <c r="O22" s="34"/>
    </row>
    <row r="23" spans="1:15" ht="13.15" x14ac:dyDescent="0.35">
      <c r="A23" s="6"/>
      <c r="B23" s="2"/>
      <c r="C23" s="6"/>
      <c r="D23" s="23" t="s">
        <v>34</v>
      </c>
      <c r="E23" s="24"/>
      <c r="F23" s="36"/>
      <c r="G23" s="35"/>
      <c r="H23" s="35"/>
      <c r="I23" s="35"/>
      <c r="J23" s="35"/>
      <c r="N23" s="34"/>
      <c r="O23" s="34"/>
    </row>
    <row r="24" spans="1:15" ht="13.15" x14ac:dyDescent="0.35">
      <c r="A24" s="6"/>
      <c r="B24" s="2"/>
      <c r="C24" s="6"/>
      <c r="D24" s="23"/>
      <c r="E24" s="24"/>
      <c r="F24" s="36"/>
      <c r="G24" s="35"/>
      <c r="H24" s="35"/>
      <c r="I24" s="35"/>
      <c r="J24" s="35"/>
      <c r="N24" s="34"/>
      <c r="O24" s="34"/>
    </row>
    <row r="25" spans="1:15" ht="13.15" x14ac:dyDescent="0.4">
      <c r="A25" s="149" t="s">
        <v>35</v>
      </c>
      <c r="H25" s="2"/>
      <c r="N25" s="34"/>
      <c r="O25" s="34"/>
    </row>
    <row r="26" spans="1:15" ht="13.15" x14ac:dyDescent="0.4">
      <c r="A26" s="148" t="s">
        <v>101</v>
      </c>
      <c r="H26" s="2"/>
      <c r="N26" s="34"/>
      <c r="O26" s="34"/>
    </row>
    <row r="27" spans="1:15" x14ac:dyDescent="0.35">
      <c r="A27" s="7" t="s">
        <v>37</v>
      </c>
      <c r="H27" s="2"/>
      <c r="N27" s="34"/>
      <c r="O27" s="34"/>
    </row>
    <row r="28" spans="1:15" x14ac:dyDescent="0.35">
      <c r="A28" s="7"/>
      <c r="H28" s="2"/>
      <c r="N28" s="34"/>
      <c r="O28" s="34"/>
    </row>
    <row r="29" spans="1:15" ht="13.15" x14ac:dyDescent="0.4">
      <c r="A29" s="149" t="s">
        <v>38</v>
      </c>
      <c r="H29" s="2"/>
      <c r="N29" s="34"/>
      <c r="O29" s="34"/>
    </row>
    <row r="30" spans="1:15" x14ac:dyDescent="0.35">
      <c r="A30" s="148" t="s">
        <v>80</v>
      </c>
      <c r="H30" s="2"/>
      <c r="N30" s="34"/>
      <c r="O30" s="34"/>
    </row>
    <row r="31" spans="1:15" x14ac:dyDescent="0.35">
      <c r="H31" s="2"/>
      <c r="K31" s="26"/>
      <c r="N31" s="34"/>
      <c r="O31" s="34"/>
    </row>
    <row r="32" spans="1:15" ht="13.15" x14ac:dyDescent="0.4">
      <c r="A32" s="149" t="s">
        <v>81</v>
      </c>
      <c r="B32" s="7" t="s">
        <v>42</v>
      </c>
      <c r="H32" s="2"/>
      <c r="N32" s="34"/>
      <c r="O32" s="34"/>
    </row>
    <row r="33" spans="1:15" x14ac:dyDescent="0.35">
      <c r="A33" s="7"/>
      <c r="C33" s="26">
        <f>'October 1 2016'!C35+0.1</f>
        <v>1.2500000000000002</v>
      </c>
      <c r="D33" s="1" t="s">
        <v>43</v>
      </c>
      <c r="H33" s="2"/>
      <c r="N33" s="34"/>
      <c r="O33" s="34"/>
    </row>
    <row r="34" spans="1:15" ht="13.15" x14ac:dyDescent="0.4">
      <c r="A34" s="149" t="s">
        <v>82</v>
      </c>
      <c r="B34" s="7" t="s">
        <v>45</v>
      </c>
      <c r="H34" s="2"/>
      <c r="N34" s="34"/>
      <c r="O34" s="34"/>
    </row>
    <row r="35" spans="1:15" x14ac:dyDescent="0.35">
      <c r="A35" s="7"/>
      <c r="C35" s="26">
        <f>'October 1 2016'!C37+0.1</f>
        <v>1.7000000000000002</v>
      </c>
      <c r="D35" s="1" t="s">
        <v>43</v>
      </c>
      <c r="H35" s="2"/>
      <c r="N35" s="34"/>
      <c r="O35" s="34"/>
    </row>
    <row r="36" spans="1:15" ht="13.15" x14ac:dyDescent="0.4">
      <c r="A36" s="149" t="s">
        <v>83</v>
      </c>
      <c r="B36" s="7" t="s">
        <v>47</v>
      </c>
      <c r="H36" s="2"/>
      <c r="N36" s="34"/>
      <c r="O36" s="34"/>
    </row>
    <row r="37" spans="1:15" x14ac:dyDescent="0.35">
      <c r="A37" s="7"/>
      <c r="C37" s="26">
        <f>'October 1 2016'!C39+0.1</f>
        <v>1.9500000000000002</v>
      </c>
      <c r="D37" s="1" t="s">
        <v>43</v>
      </c>
      <c r="H37" s="2"/>
      <c r="N37" s="34"/>
      <c r="O37" s="34"/>
    </row>
    <row r="38" spans="1:15" x14ac:dyDescent="0.35">
      <c r="A38" s="148" t="s">
        <v>84</v>
      </c>
      <c r="C38" s="26"/>
      <c r="H38" s="2"/>
      <c r="N38" s="34"/>
      <c r="O38" s="34"/>
    </row>
    <row r="39" spans="1:15" x14ac:dyDescent="0.35">
      <c r="A39" s="7"/>
      <c r="C39" s="26"/>
      <c r="H39" s="2"/>
      <c r="N39" s="34"/>
      <c r="O39" s="34"/>
    </row>
    <row r="40" spans="1:15" ht="13.15" x14ac:dyDescent="0.4">
      <c r="A40" s="29" t="s">
        <v>85</v>
      </c>
      <c r="C40" s="26"/>
      <c r="H40" s="2"/>
      <c r="N40" s="34"/>
      <c r="O40" s="34"/>
    </row>
    <row r="41" spans="1:15" ht="13.15" x14ac:dyDescent="0.4">
      <c r="A41" s="148" t="s">
        <v>86</v>
      </c>
      <c r="H41" s="2"/>
    </row>
    <row r="42" spans="1:15" ht="13.15" x14ac:dyDescent="0.4">
      <c r="A42" s="148" t="s">
        <v>102</v>
      </c>
      <c r="B42" s="4"/>
      <c r="D42" s="4"/>
      <c r="G42" s="38">
        <v>0.5</v>
      </c>
      <c r="H42" s="17" t="s">
        <v>88</v>
      </c>
      <c r="I42" s="17"/>
      <c r="J42" s="17"/>
      <c r="M42" s="4"/>
      <c r="N42" s="4"/>
    </row>
    <row r="43" spans="1:15" ht="13.15" x14ac:dyDescent="0.4">
      <c r="A43" s="148"/>
      <c r="B43" s="4"/>
      <c r="D43" s="4"/>
      <c r="G43" s="38"/>
      <c r="H43" s="17"/>
      <c r="I43" s="17"/>
      <c r="J43" s="17"/>
      <c r="M43" s="4"/>
      <c r="N43" s="4"/>
    </row>
    <row r="44" spans="1:15" ht="13.15" x14ac:dyDescent="0.4">
      <c r="A44" s="148" t="s">
        <v>89</v>
      </c>
      <c r="H44" s="2"/>
      <c r="K44" s="4"/>
    </row>
    <row r="45" spans="1:15" ht="13.15" x14ac:dyDescent="0.4">
      <c r="A45" s="148" t="s">
        <v>103</v>
      </c>
    </row>
    <row r="46" spans="1:15" x14ac:dyDescent="0.35">
      <c r="A46" s="30">
        <v>1</v>
      </c>
      <c r="B46" s="17" t="s">
        <v>88</v>
      </c>
      <c r="H46" s="2"/>
    </row>
    <row r="47" spans="1:15" x14ac:dyDescent="0.35">
      <c r="H47" s="2"/>
    </row>
    <row r="48" spans="1:15" ht="13.15" x14ac:dyDescent="0.4">
      <c r="A48" s="148" t="s">
        <v>104</v>
      </c>
      <c r="H48" s="2"/>
      <c r="K48" s="4"/>
    </row>
    <row r="49" spans="1:11" ht="13.15" x14ac:dyDescent="0.4">
      <c r="A49" s="148" t="s">
        <v>105</v>
      </c>
      <c r="H49" s="2"/>
      <c r="K49" s="4"/>
    </row>
    <row r="50" spans="1:11" x14ac:dyDescent="0.35">
      <c r="A50" s="148" t="s">
        <v>92</v>
      </c>
    </row>
    <row r="51" spans="1:11" x14ac:dyDescent="0.35">
      <c r="A51" s="7"/>
      <c r="E51" s="1" t="s">
        <v>93</v>
      </c>
      <c r="G51" s="38">
        <v>1</v>
      </c>
      <c r="H51" s="17" t="s">
        <v>94</v>
      </c>
    </row>
    <row r="52" spans="1:11" x14ac:dyDescent="0.35">
      <c r="A52" s="7"/>
      <c r="H52" s="2"/>
    </row>
    <row r="53" spans="1:11" ht="13.15" x14ac:dyDescent="0.4">
      <c r="A53" s="27" t="s">
        <v>106</v>
      </c>
      <c r="H53" s="2"/>
    </row>
    <row r="54" spans="1:11" x14ac:dyDescent="0.35">
      <c r="A54" s="27" t="s">
        <v>107</v>
      </c>
      <c r="E54" s="17" t="s">
        <v>93</v>
      </c>
      <c r="G54" s="26">
        <v>0.5</v>
      </c>
      <c r="H54" s="39" t="s">
        <v>43</v>
      </c>
    </row>
    <row r="55" spans="1:11" x14ac:dyDescent="0.35">
      <c r="A55" s="7"/>
    </row>
    <row r="56" spans="1:11" x14ac:dyDescent="0.35">
      <c r="A56" s="37"/>
      <c r="E56" s="17"/>
      <c r="G56" s="26"/>
      <c r="H56" s="39"/>
    </row>
    <row r="57" spans="1:11" ht="13.15" x14ac:dyDescent="0.4">
      <c r="A57" s="149" t="s">
        <v>56</v>
      </c>
      <c r="H57" s="2"/>
    </row>
    <row r="58" spans="1:11" ht="13.15" x14ac:dyDescent="0.4">
      <c r="A58" s="7" t="s">
        <v>57</v>
      </c>
      <c r="H58" s="2"/>
    </row>
    <row r="59" spans="1:11" ht="13.15" x14ac:dyDescent="0.4">
      <c r="A59" s="7" t="s">
        <v>58</v>
      </c>
      <c r="H59" s="2"/>
      <c r="I59" s="4"/>
    </row>
    <row r="60" spans="1:11" x14ac:dyDescent="0.35">
      <c r="A60" s="8">
        <v>0.35336000000000006</v>
      </c>
      <c r="B60" s="15" t="s">
        <v>59</v>
      </c>
      <c r="H60" s="2"/>
    </row>
    <row r="61" spans="1:11" x14ac:dyDescent="0.35">
      <c r="A61" s="8">
        <v>0.42884000000000005</v>
      </c>
      <c r="B61" s="15" t="s">
        <v>60</v>
      </c>
      <c r="H61" s="2"/>
    </row>
    <row r="62" spans="1:11" x14ac:dyDescent="0.35">
      <c r="A62" s="8">
        <v>0.50839999999999996</v>
      </c>
      <c r="B62" s="15" t="s">
        <v>61</v>
      </c>
      <c r="H62" s="2"/>
    </row>
    <row r="63" spans="1:11" x14ac:dyDescent="0.35">
      <c r="A63" s="8">
        <v>0.58592</v>
      </c>
      <c r="B63" s="15" t="s">
        <v>62</v>
      </c>
      <c r="C63" s="18"/>
      <c r="D63" s="18"/>
      <c r="H63" s="2"/>
    </row>
    <row r="64" spans="1:11" x14ac:dyDescent="0.35">
      <c r="A64" s="8"/>
      <c r="B64" s="18"/>
      <c r="C64" s="18"/>
      <c r="D64" s="18"/>
      <c r="H64" s="2"/>
    </row>
    <row r="65" spans="1:12" ht="13.15" x14ac:dyDescent="0.4">
      <c r="A65" s="51" t="s">
        <v>63</v>
      </c>
      <c r="B65" s="4"/>
      <c r="C65" s="4"/>
      <c r="D65" s="4"/>
      <c r="H65" s="2"/>
      <c r="J65" s="4"/>
      <c r="K65" s="4"/>
      <c r="L65" s="4"/>
    </row>
    <row r="66" spans="1:12" x14ac:dyDescent="0.35">
      <c r="A66" s="1" t="s">
        <v>64</v>
      </c>
      <c r="H66" s="2"/>
    </row>
    <row r="67" spans="1:12" x14ac:dyDescent="0.35">
      <c r="A67" s="18"/>
      <c r="B67" s="1" t="s">
        <v>65</v>
      </c>
      <c r="H67" s="2"/>
    </row>
    <row r="68" spans="1:12" x14ac:dyDescent="0.35">
      <c r="B68" s="1" t="s">
        <v>66</v>
      </c>
      <c r="H68" s="2"/>
    </row>
    <row r="69" spans="1:12" x14ac:dyDescent="0.35">
      <c r="B69" s="1" t="s">
        <v>67</v>
      </c>
      <c r="H69" s="2"/>
    </row>
    <row r="70" spans="1:12" x14ac:dyDescent="0.35">
      <c r="B70" s="1" t="s">
        <v>68</v>
      </c>
      <c r="H70" s="2"/>
    </row>
  </sheetData>
  <pageMargins left="0.25" right="0.25" top="0.75" bottom="0.75" header="0.3" footer="0.3"/>
  <pageSetup scale="95" orientation="landscape" r:id="rId1"/>
  <headerFooter alignWithMargins="0">
    <oddFooter>&amp;C&amp;P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74"/>
  <sheetViews>
    <sheetView topLeftCell="A34" workbookViewId="0">
      <selection activeCell="A3" sqref="A3:C3"/>
    </sheetView>
  </sheetViews>
  <sheetFormatPr defaultColWidth="9.1328125" defaultRowHeight="12.75" x14ac:dyDescent="0.35"/>
  <cols>
    <col min="1" max="1" width="9.1328125" style="1"/>
    <col min="2" max="2" width="7" style="1" customWidth="1"/>
    <col min="3" max="3" width="9.1328125" style="1"/>
    <col min="4" max="4" width="48.59765625" style="1" customWidth="1"/>
    <col min="5" max="5" width="6.1328125" style="1" customWidth="1"/>
    <col min="6" max="6" width="3.73046875" style="1" customWidth="1"/>
    <col min="7" max="7" width="6.73046875" style="1" customWidth="1"/>
    <col min="8" max="8" width="13" style="1" customWidth="1"/>
    <col min="9" max="9" width="13.1328125" style="1" customWidth="1"/>
    <col min="10" max="10" width="11.86328125" style="1" customWidth="1"/>
    <col min="11" max="11" width="7.265625" style="1" customWidth="1"/>
    <col min="12" max="14" width="9.1328125" style="1"/>
    <col min="15" max="15" width="28.59765625" style="1" bestFit="1" customWidth="1"/>
    <col min="16" max="16384" width="9.1328125" style="1"/>
  </cols>
  <sheetData>
    <row r="1" spans="1:12" ht="13.15" x14ac:dyDescent="0.4">
      <c r="A1" s="149" t="s">
        <v>0</v>
      </c>
      <c r="H1" s="2"/>
    </row>
    <row r="2" spans="1:12" x14ac:dyDescent="0.35">
      <c r="H2" s="2"/>
    </row>
    <row r="3" spans="1:12" ht="13.15" x14ac:dyDescent="0.4">
      <c r="A3" s="45" t="s">
        <v>108</v>
      </c>
      <c r="B3" s="46"/>
      <c r="C3" s="46"/>
      <c r="D3" s="46"/>
      <c r="E3" s="46"/>
      <c r="F3" s="46"/>
      <c r="G3" s="46"/>
      <c r="H3" s="47"/>
      <c r="I3" s="48"/>
      <c r="J3" s="4"/>
    </row>
    <row r="4" spans="1:12" ht="13.15" x14ac:dyDescent="0.4">
      <c r="A4" s="5" t="s">
        <v>2</v>
      </c>
      <c r="B4" s="5" t="s">
        <v>3</v>
      </c>
      <c r="C4" s="4" t="s">
        <v>4</v>
      </c>
      <c r="D4" s="4" t="s">
        <v>5</v>
      </c>
      <c r="E4" s="5" t="s">
        <v>6</v>
      </c>
      <c r="F4" s="5" t="s">
        <v>7</v>
      </c>
      <c r="G4" s="5" t="s">
        <v>8</v>
      </c>
      <c r="H4" s="5" t="s">
        <v>70</v>
      </c>
      <c r="L4" s="31"/>
    </row>
    <row r="5" spans="1:12" x14ac:dyDescent="0.35">
      <c r="A5" s="6" t="s">
        <v>10</v>
      </c>
      <c r="B5" s="2">
        <v>2</v>
      </c>
      <c r="C5" s="6" t="s">
        <v>11</v>
      </c>
      <c r="D5" s="148" t="s">
        <v>71</v>
      </c>
      <c r="E5" s="6">
        <v>253</v>
      </c>
      <c r="F5" s="6">
        <v>5</v>
      </c>
      <c r="G5" s="6" t="s">
        <v>13</v>
      </c>
      <c r="H5" s="8">
        <f>'October 1 2016'!H5+0.7</f>
        <v>29.083076544000004</v>
      </c>
    </row>
    <row r="6" spans="1:12" x14ac:dyDescent="0.35">
      <c r="A6" s="6" t="s">
        <v>10</v>
      </c>
      <c r="B6" s="2">
        <v>2</v>
      </c>
      <c r="C6" s="6" t="s">
        <v>18</v>
      </c>
      <c r="D6" s="7" t="s">
        <v>19</v>
      </c>
      <c r="E6" s="6">
        <v>185</v>
      </c>
      <c r="F6" s="6">
        <v>4</v>
      </c>
      <c r="G6" s="6" t="s">
        <v>13</v>
      </c>
      <c r="H6" s="8">
        <f>'October 1 2016'!H6+0.7</f>
        <v>27.964438464000004</v>
      </c>
    </row>
    <row r="7" spans="1:12" x14ac:dyDescent="0.35">
      <c r="A7" s="6" t="s">
        <v>10</v>
      </c>
      <c r="B7" s="2">
        <v>2</v>
      </c>
      <c r="C7" s="6" t="s">
        <v>20</v>
      </c>
      <c r="D7" s="7" t="s">
        <v>21</v>
      </c>
      <c r="E7" s="6">
        <v>245</v>
      </c>
      <c r="F7" s="6">
        <v>5</v>
      </c>
      <c r="G7" s="6" t="s">
        <v>13</v>
      </c>
      <c r="H7" s="8">
        <f>'October 1 2016'!H7+0.7</f>
        <v>29.083076544000004</v>
      </c>
    </row>
    <row r="8" spans="1:12" x14ac:dyDescent="0.35">
      <c r="A8" s="6" t="s">
        <v>10</v>
      </c>
      <c r="B8" s="2">
        <v>2</v>
      </c>
      <c r="C8" s="42" t="s">
        <v>72</v>
      </c>
      <c r="D8" s="148" t="s">
        <v>98</v>
      </c>
      <c r="E8" s="6">
        <v>320</v>
      </c>
      <c r="F8" s="6">
        <v>5</v>
      </c>
      <c r="G8" s="6" t="s">
        <v>13</v>
      </c>
      <c r="H8" s="8">
        <v>32.662999999999997</v>
      </c>
    </row>
    <row r="9" spans="1:12" x14ac:dyDescent="0.35">
      <c r="A9" s="42" t="s">
        <v>10</v>
      </c>
      <c r="B9" s="2">
        <v>2</v>
      </c>
      <c r="C9" s="42" t="s">
        <v>74</v>
      </c>
      <c r="D9" s="148" t="s">
        <v>99</v>
      </c>
      <c r="E9" s="6">
        <v>258</v>
      </c>
      <c r="F9" s="6">
        <v>5</v>
      </c>
      <c r="G9" s="42" t="s">
        <v>13</v>
      </c>
      <c r="H9" s="8">
        <v>29.181999999999999</v>
      </c>
    </row>
    <row r="10" spans="1:12" x14ac:dyDescent="0.35">
      <c r="A10" s="148" t="s">
        <v>109</v>
      </c>
      <c r="B10" s="2"/>
      <c r="C10" s="42"/>
      <c r="D10" s="148"/>
      <c r="E10" s="6"/>
      <c r="F10" s="6"/>
      <c r="G10" s="42"/>
      <c r="H10" s="8"/>
    </row>
    <row r="11" spans="1:12" x14ac:dyDescent="0.35">
      <c r="A11" s="148" t="s">
        <v>110</v>
      </c>
      <c r="B11" s="2"/>
      <c r="C11" s="42"/>
      <c r="D11" s="148"/>
      <c r="E11" s="6"/>
      <c r="F11" s="6"/>
      <c r="G11" s="42"/>
      <c r="H11" s="8"/>
    </row>
    <row r="12" spans="1:12" x14ac:dyDescent="0.35">
      <c r="A12" s="42"/>
      <c r="B12" s="2"/>
      <c r="C12" s="42"/>
      <c r="D12" s="148"/>
      <c r="E12" s="6"/>
      <c r="F12" s="6"/>
      <c r="G12" s="42"/>
      <c r="H12" s="8"/>
    </row>
    <row r="13" spans="1:12" ht="13.15" x14ac:dyDescent="0.4">
      <c r="A13" s="12"/>
      <c r="B13" s="13"/>
      <c r="C13" s="13"/>
      <c r="D13" s="13"/>
      <c r="E13" s="13"/>
      <c r="F13" s="13"/>
      <c r="G13" s="13"/>
      <c r="H13" s="14"/>
      <c r="I13" s="14"/>
      <c r="J13" s="14"/>
    </row>
    <row r="14" spans="1:12" ht="13.15" x14ac:dyDescent="0.4">
      <c r="A14" s="5" t="s">
        <v>2</v>
      </c>
      <c r="B14" s="5" t="s">
        <v>3</v>
      </c>
      <c r="C14" s="4" t="s">
        <v>4</v>
      </c>
      <c r="D14" s="4" t="s">
        <v>5</v>
      </c>
      <c r="E14" s="5" t="s">
        <v>6</v>
      </c>
      <c r="F14" s="5" t="s">
        <v>7</v>
      </c>
      <c r="G14" s="5" t="s">
        <v>8</v>
      </c>
      <c r="H14" s="5" t="s">
        <v>22</v>
      </c>
      <c r="I14" s="5" t="s">
        <v>23</v>
      </c>
      <c r="J14" s="5" t="s">
        <v>24</v>
      </c>
    </row>
    <row r="15" spans="1:12" x14ac:dyDescent="0.35">
      <c r="A15" s="6" t="s">
        <v>10</v>
      </c>
      <c r="B15" s="2">
        <v>2</v>
      </c>
      <c r="C15" s="9" t="s">
        <v>25</v>
      </c>
      <c r="D15" s="32" t="s">
        <v>26</v>
      </c>
      <c r="E15" s="33">
        <v>318</v>
      </c>
      <c r="F15" s="33">
        <v>7</v>
      </c>
      <c r="G15" s="33" t="s">
        <v>13</v>
      </c>
      <c r="H15" s="32"/>
      <c r="I15" s="32"/>
      <c r="J15" s="32"/>
    </row>
    <row r="16" spans="1:12" x14ac:dyDescent="0.35">
      <c r="A16" s="6"/>
      <c r="B16" s="2"/>
      <c r="C16" s="9"/>
      <c r="D16" s="32" t="s">
        <v>27</v>
      </c>
      <c r="E16" s="32"/>
      <c r="F16" s="32"/>
      <c r="G16" s="32"/>
      <c r="H16" s="8">
        <f>'October 1 2016'!H17+0.7</f>
        <v>32.130033600000004</v>
      </c>
      <c r="I16" s="32"/>
      <c r="J16" s="32"/>
    </row>
    <row r="17" spans="1:15" x14ac:dyDescent="0.35">
      <c r="A17" s="6"/>
      <c r="B17" s="2"/>
      <c r="C17" s="9"/>
      <c r="D17" s="32" t="s">
        <v>28</v>
      </c>
      <c r="E17" s="32"/>
      <c r="F17" s="32"/>
      <c r="G17" s="32"/>
      <c r="H17" s="32"/>
      <c r="I17" s="8">
        <f>'October 1 2016'!I18+0.7</f>
        <v>32.343107520000004</v>
      </c>
      <c r="J17" s="32"/>
    </row>
    <row r="18" spans="1:15" x14ac:dyDescent="0.35">
      <c r="A18" s="6"/>
      <c r="B18" s="2"/>
      <c r="C18" s="9"/>
      <c r="D18" s="32" t="s">
        <v>29</v>
      </c>
      <c r="E18" s="32"/>
      <c r="F18" s="32"/>
      <c r="G18" s="32"/>
      <c r="H18" s="32"/>
      <c r="I18" s="32"/>
      <c r="J18" s="8">
        <f>'October 1 2016'!J19+0.7</f>
        <v>32.662718400000003</v>
      </c>
      <c r="N18" s="34"/>
      <c r="O18" s="34"/>
    </row>
    <row r="19" spans="1:15" s="28" customFormat="1" x14ac:dyDescent="0.35">
      <c r="A19" s="9"/>
      <c r="B19" s="10"/>
      <c r="C19" s="9"/>
      <c r="D19" s="32"/>
      <c r="E19" s="32"/>
      <c r="F19" s="32"/>
      <c r="G19" s="32"/>
      <c r="H19" s="32"/>
      <c r="I19" s="32"/>
      <c r="J19" s="32"/>
      <c r="N19" s="34"/>
      <c r="O19" s="34"/>
    </row>
    <row r="20" spans="1:15" x14ac:dyDescent="0.35">
      <c r="A20" s="6"/>
      <c r="B20" s="2"/>
      <c r="C20" s="6"/>
      <c r="D20" s="32" t="s">
        <v>30</v>
      </c>
      <c r="E20" s="32"/>
      <c r="F20" s="32"/>
      <c r="G20" s="32"/>
      <c r="H20" s="32"/>
      <c r="I20" s="32"/>
      <c r="J20" s="32"/>
      <c r="N20" s="34"/>
      <c r="O20" s="34"/>
    </row>
    <row r="21" spans="1:15" x14ac:dyDescent="0.35">
      <c r="A21" s="6"/>
      <c r="B21" s="2"/>
      <c r="C21" s="6"/>
      <c r="D21" s="32" t="s">
        <v>31</v>
      </c>
      <c r="E21" s="32"/>
      <c r="F21" s="32"/>
      <c r="G21" s="32"/>
      <c r="H21" s="32"/>
      <c r="I21" s="32"/>
      <c r="J21" s="32"/>
      <c r="N21" s="34"/>
      <c r="O21" s="34"/>
    </row>
    <row r="22" spans="1:15" x14ac:dyDescent="0.35">
      <c r="A22" s="6"/>
      <c r="B22" s="2"/>
      <c r="C22" s="6"/>
      <c r="D22" s="32" t="s">
        <v>32</v>
      </c>
      <c r="E22" s="35"/>
      <c r="F22" s="35"/>
      <c r="G22" s="35"/>
      <c r="H22" s="35"/>
      <c r="I22" s="35"/>
      <c r="J22" s="35"/>
      <c r="N22" s="34"/>
      <c r="O22" s="34"/>
    </row>
    <row r="23" spans="1:15" x14ac:dyDescent="0.35">
      <c r="A23" s="6"/>
      <c r="B23" s="2"/>
      <c r="C23" s="6"/>
      <c r="D23" s="32" t="s">
        <v>33</v>
      </c>
      <c r="E23" s="35"/>
      <c r="F23" s="35"/>
      <c r="G23" s="35"/>
      <c r="H23" s="35"/>
      <c r="I23" s="35"/>
      <c r="J23" s="35"/>
      <c r="N23" s="34"/>
      <c r="O23" s="34"/>
    </row>
    <row r="24" spans="1:15" ht="13.15" x14ac:dyDescent="0.35">
      <c r="A24" s="6"/>
      <c r="B24" s="2"/>
      <c r="C24" s="6"/>
      <c r="D24" s="23" t="s">
        <v>34</v>
      </c>
      <c r="E24" s="24"/>
      <c r="F24" s="36"/>
      <c r="G24" s="35"/>
      <c r="H24" s="35"/>
      <c r="I24" s="35"/>
      <c r="J24" s="35"/>
      <c r="N24" s="34"/>
      <c r="O24" s="34"/>
    </row>
    <row r="25" spans="1:15" ht="13.15" x14ac:dyDescent="0.35">
      <c r="A25" s="6"/>
      <c r="B25" s="2"/>
      <c r="C25" s="6"/>
      <c r="D25" s="23"/>
      <c r="E25" s="24"/>
      <c r="F25" s="36"/>
      <c r="G25" s="35"/>
      <c r="H25" s="35"/>
      <c r="I25" s="35"/>
      <c r="J25" s="35"/>
      <c r="N25" s="34"/>
      <c r="O25" s="34"/>
    </row>
    <row r="26" spans="1:15" ht="13.15" x14ac:dyDescent="0.4">
      <c r="A26" s="149" t="s">
        <v>35</v>
      </c>
      <c r="H26" s="2"/>
      <c r="N26" s="34"/>
      <c r="O26" s="34"/>
    </row>
    <row r="27" spans="1:15" ht="13.15" x14ac:dyDescent="0.4">
      <c r="A27" s="148" t="s">
        <v>101</v>
      </c>
      <c r="H27" s="2"/>
      <c r="N27" s="34"/>
      <c r="O27" s="34"/>
    </row>
    <row r="28" spans="1:15" x14ac:dyDescent="0.35">
      <c r="A28" s="7" t="s">
        <v>37</v>
      </c>
      <c r="H28" s="2"/>
      <c r="N28" s="34"/>
      <c r="O28" s="34"/>
    </row>
    <row r="29" spans="1:15" x14ac:dyDescent="0.35">
      <c r="A29" s="7"/>
      <c r="H29" s="2"/>
      <c r="N29" s="34"/>
      <c r="O29" s="34"/>
    </row>
    <row r="30" spans="1:15" ht="13.15" x14ac:dyDescent="0.4">
      <c r="A30" s="149" t="s">
        <v>38</v>
      </c>
      <c r="H30" s="2"/>
      <c r="N30" s="34"/>
      <c r="O30" s="34"/>
    </row>
    <row r="31" spans="1:15" x14ac:dyDescent="0.35">
      <c r="A31" s="148" t="s">
        <v>80</v>
      </c>
      <c r="H31" s="2"/>
      <c r="N31" s="34"/>
      <c r="O31" s="34"/>
    </row>
    <row r="32" spans="1:15" x14ac:dyDescent="0.35">
      <c r="H32" s="2"/>
      <c r="K32" s="26"/>
      <c r="N32" s="34"/>
      <c r="O32" s="34"/>
    </row>
    <row r="33" spans="1:15" ht="13.15" x14ac:dyDescent="0.4">
      <c r="A33" s="149" t="s">
        <v>81</v>
      </c>
      <c r="B33" s="7" t="s">
        <v>42</v>
      </c>
      <c r="H33" s="2"/>
      <c r="N33" s="34"/>
      <c r="O33" s="34"/>
    </row>
    <row r="34" spans="1:15" x14ac:dyDescent="0.35">
      <c r="A34" s="7"/>
      <c r="C34" s="26">
        <f>'October 1 2016'!C35+0.1</f>
        <v>1.2500000000000002</v>
      </c>
      <c r="D34" s="1" t="s">
        <v>43</v>
      </c>
      <c r="H34" s="2"/>
      <c r="N34" s="34"/>
      <c r="O34" s="34"/>
    </row>
    <row r="35" spans="1:15" ht="13.15" x14ac:dyDescent="0.4">
      <c r="A35" s="149" t="s">
        <v>82</v>
      </c>
      <c r="B35" s="7" t="s">
        <v>45</v>
      </c>
      <c r="H35" s="2"/>
      <c r="N35" s="34"/>
      <c r="O35" s="34"/>
    </row>
    <row r="36" spans="1:15" x14ac:dyDescent="0.35">
      <c r="A36" s="7"/>
      <c r="C36" s="26">
        <f>'October 1 2016'!C37+0.1</f>
        <v>1.7000000000000002</v>
      </c>
      <c r="D36" s="1" t="s">
        <v>43</v>
      </c>
      <c r="H36" s="2"/>
      <c r="N36" s="34"/>
      <c r="O36" s="34"/>
    </row>
    <row r="37" spans="1:15" ht="13.15" x14ac:dyDescent="0.4">
      <c r="A37" s="149" t="s">
        <v>83</v>
      </c>
      <c r="B37" s="7" t="s">
        <v>47</v>
      </c>
      <c r="H37" s="2"/>
      <c r="N37" s="34"/>
      <c r="O37" s="34"/>
    </row>
    <row r="38" spans="1:15" x14ac:dyDescent="0.35">
      <c r="A38" s="7"/>
      <c r="C38" s="26">
        <f>'October 1 2016'!C39+0.1</f>
        <v>1.9500000000000002</v>
      </c>
      <c r="D38" s="1" t="s">
        <v>43</v>
      </c>
      <c r="H38" s="2"/>
      <c r="N38" s="34"/>
      <c r="O38" s="34"/>
    </row>
    <row r="39" spans="1:15" x14ac:dyDescent="0.35">
      <c r="A39" s="148" t="s">
        <v>84</v>
      </c>
      <c r="C39" s="26"/>
      <c r="H39" s="2"/>
      <c r="N39" s="34"/>
      <c r="O39" s="34"/>
    </row>
    <row r="40" spans="1:15" x14ac:dyDescent="0.35">
      <c r="A40" s="7"/>
      <c r="C40" s="26"/>
      <c r="H40" s="2"/>
      <c r="N40" s="34"/>
      <c r="O40" s="34"/>
    </row>
    <row r="41" spans="1:15" ht="13.15" x14ac:dyDescent="0.4">
      <c r="A41" s="29" t="s">
        <v>85</v>
      </c>
      <c r="C41" s="26"/>
      <c r="H41" s="2"/>
      <c r="N41" s="34"/>
      <c r="O41" s="34"/>
    </row>
    <row r="42" spans="1:15" ht="13.15" x14ac:dyDescent="0.4">
      <c r="A42" s="148" t="s">
        <v>86</v>
      </c>
      <c r="H42" s="2"/>
    </row>
    <row r="43" spans="1:15" ht="13.15" x14ac:dyDescent="0.4">
      <c r="A43" s="148" t="s">
        <v>102</v>
      </c>
      <c r="B43" s="4"/>
      <c r="D43" s="4"/>
      <c r="G43" s="38">
        <v>0.5</v>
      </c>
      <c r="H43" s="17" t="s">
        <v>88</v>
      </c>
      <c r="I43" s="17"/>
      <c r="J43" s="17"/>
      <c r="M43" s="4"/>
      <c r="N43" s="4"/>
    </row>
    <row r="44" spans="1:15" ht="13.15" x14ac:dyDescent="0.4">
      <c r="A44" s="148"/>
      <c r="B44" s="4"/>
      <c r="D44" s="4"/>
      <c r="G44" s="38"/>
      <c r="H44" s="17"/>
      <c r="I44" s="17"/>
      <c r="J44" s="17"/>
      <c r="M44" s="4"/>
      <c r="N44" s="4"/>
    </row>
    <row r="45" spans="1:15" ht="13.15" x14ac:dyDescent="0.4">
      <c r="A45" s="148" t="s">
        <v>89</v>
      </c>
      <c r="H45" s="2"/>
      <c r="K45" s="4"/>
    </row>
    <row r="46" spans="1:15" ht="13.15" x14ac:dyDescent="0.4">
      <c r="A46" s="148" t="s">
        <v>103</v>
      </c>
    </row>
    <row r="47" spans="1:15" x14ac:dyDescent="0.35">
      <c r="A47" s="30">
        <v>1</v>
      </c>
      <c r="B47" s="17" t="s">
        <v>88</v>
      </c>
      <c r="H47" s="2"/>
    </row>
    <row r="48" spans="1:15" x14ac:dyDescent="0.35">
      <c r="H48" s="2"/>
    </row>
    <row r="49" spans="1:11" ht="14.25" x14ac:dyDescent="0.35">
      <c r="A49" s="49" t="s">
        <v>111</v>
      </c>
      <c r="B49" s="46"/>
      <c r="C49" s="46"/>
      <c r="D49" s="46"/>
      <c r="E49" s="46"/>
      <c r="F49" s="46"/>
      <c r="G49" s="46"/>
      <c r="H49" s="47"/>
      <c r="I49" s="46"/>
    </row>
    <row r="50" spans="1:11" ht="14.25" x14ac:dyDescent="0.35">
      <c r="A50" s="50" t="s">
        <v>112</v>
      </c>
      <c r="B50" s="46"/>
      <c r="C50" s="46"/>
      <c r="D50" s="46"/>
      <c r="E50" s="46"/>
      <c r="F50" s="46"/>
      <c r="G50" s="46"/>
      <c r="H50" s="47"/>
      <c r="I50" s="46"/>
    </row>
    <row r="51" spans="1:11" x14ac:dyDescent="0.35">
      <c r="H51" s="2"/>
    </row>
    <row r="52" spans="1:11" ht="13.15" x14ac:dyDescent="0.4">
      <c r="A52" s="148" t="s">
        <v>104</v>
      </c>
      <c r="H52" s="2"/>
      <c r="K52" s="4"/>
    </row>
    <row r="53" spans="1:11" ht="13.15" x14ac:dyDescent="0.4">
      <c r="A53" s="148" t="s">
        <v>105</v>
      </c>
      <c r="H53" s="2"/>
      <c r="K53" s="4"/>
    </row>
    <row r="54" spans="1:11" x14ac:dyDescent="0.35">
      <c r="A54" s="148" t="s">
        <v>92</v>
      </c>
    </row>
    <row r="55" spans="1:11" x14ac:dyDescent="0.35">
      <c r="A55" s="7"/>
      <c r="E55" s="1" t="s">
        <v>93</v>
      </c>
      <c r="G55" s="38">
        <v>1</v>
      </c>
      <c r="H55" s="17" t="s">
        <v>94</v>
      </c>
    </row>
    <row r="56" spans="1:11" x14ac:dyDescent="0.35">
      <c r="A56" s="7"/>
      <c r="H56" s="2"/>
    </row>
    <row r="57" spans="1:11" ht="13.15" x14ac:dyDescent="0.4">
      <c r="A57" s="27" t="s">
        <v>106</v>
      </c>
      <c r="H57" s="2"/>
    </row>
    <row r="58" spans="1:11" x14ac:dyDescent="0.35">
      <c r="A58" s="27" t="s">
        <v>107</v>
      </c>
      <c r="E58" s="17" t="s">
        <v>93</v>
      </c>
      <c r="G58" s="26">
        <v>0.5</v>
      </c>
      <c r="H58" s="39" t="s">
        <v>43</v>
      </c>
    </row>
    <row r="59" spans="1:11" x14ac:dyDescent="0.35">
      <c r="A59" s="7"/>
    </row>
    <row r="60" spans="1:11" x14ac:dyDescent="0.35">
      <c r="A60" s="37"/>
      <c r="E60" s="17"/>
      <c r="G60" s="26"/>
      <c r="H60" s="39"/>
    </row>
    <row r="61" spans="1:11" ht="13.15" x14ac:dyDescent="0.4">
      <c r="A61" s="149" t="s">
        <v>56</v>
      </c>
      <c r="H61" s="2"/>
    </row>
    <row r="62" spans="1:11" ht="13.15" x14ac:dyDescent="0.4">
      <c r="A62" s="7" t="s">
        <v>57</v>
      </c>
      <c r="H62" s="2"/>
    </row>
    <row r="63" spans="1:11" ht="13.15" x14ac:dyDescent="0.4">
      <c r="A63" s="7" t="s">
        <v>58</v>
      </c>
      <c r="H63" s="2"/>
      <c r="I63" s="4"/>
    </row>
    <row r="64" spans="1:11" x14ac:dyDescent="0.35">
      <c r="A64" s="8">
        <v>0.35336000000000006</v>
      </c>
      <c r="B64" s="15" t="s">
        <v>59</v>
      </c>
      <c r="H64" s="2"/>
    </row>
    <row r="65" spans="1:12" x14ac:dyDescent="0.35">
      <c r="A65" s="8">
        <v>0.42884000000000005</v>
      </c>
      <c r="B65" s="15" t="s">
        <v>60</v>
      </c>
      <c r="H65" s="2"/>
    </row>
    <row r="66" spans="1:12" x14ac:dyDescent="0.35">
      <c r="A66" s="8">
        <v>0.50839999999999996</v>
      </c>
      <c r="B66" s="15" t="s">
        <v>61</v>
      </c>
      <c r="H66" s="2"/>
    </row>
    <row r="67" spans="1:12" x14ac:dyDescent="0.35">
      <c r="A67" s="8">
        <v>0.58592</v>
      </c>
      <c r="B67" s="15" t="s">
        <v>62</v>
      </c>
      <c r="C67" s="18"/>
      <c r="D67" s="18"/>
      <c r="H67" s="2"/>
    </row>
    <row r="68" spans="1:12" x14ac:dyDescent="0.35">
      <c r="A68" s="8"/>
      <c r="B68" s="18"/>
      <c r="C68" s="18"/>
      <c r="D68" s="18"/>
      <c r="H68" s="2"/>
    </row>
    <row r="69" spans="1:12" ht="13.15" x14ac:dyDescent="0.4">
      <c r="A69" s="51" t="s">
        <v>63</v>
      </c>
      <c r="B69" s="4"/>
      <c r="C69" s="4"/>
      <c r="D69" s="4"/>
      <c r="H69" s="2"/>
      <c r="J69" s="4"/>
      <c r="K69" s="4"/>
      <c r="L69" s="4"/>
    </row>
    <row r="70" spans="1:12" x14ac:dyDescent="0.35">
      <c r="A70" s="1" t="s">
        <v>64</v>
      </c>
      <c r="H70" s="2"/>
    </row>
    <row r="71" spans="1:12" x14ac:dyDescent="0.35">
      <c r="A71" s="18"/>
      <c r="B71" s="1" t="s">
        <v>65</v>
      </c>
      <c r="H71" s="2"/>
    </row>
    <row r="72" spans="1:12" x14ac:dyDescent="0.35">
      <c r="B72" s="1" t="s">
        <v>66</v>
      </c>
      <c r="H72" s="2"/>
    </row>
    <row r="73" spans="1:12" x14ac:dyDescent="0.35">
      <c r="B73" s="1" t="s">
        <v>67</v>
      </c>
      <c r="H73" s="2"/>
    </row>
    <row r="74" spans="1:12" x14ac:dyDescent="0.35">
      <c r="B74" s="1" t="s">
        <v>68</v>
      </c>
      <c r="H74" s="2"/>
    </row>
  </sheetData>
  <pageMargins left="0.25" right="0.25" top="0.75" bottom="0.75" header="0.3" footer="0.3"/>
  <pageSetup scale="95" orientation="landscape" r:id="rId1"/>
  <headerFooter alignWithMargins="0">
    <oddFooter>&amp;C&amp;P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60"/>
  <sheetViews>
    <sheetView workbookViewId="0">
      <selection activeCell="H9" sqref="H9"/>
    </sheetView>
  </sheetViews>
  <sheetFormatPr defaultColWidth="9.1328125" defaultRowHeight="12.75" x14ac:dyDescent="0.35"/>
  <cols>
    <col min="1" max="1" width="9.1328125" style="1"/>
    <col min="2" max="2" width="7" style="1" customWidth="1"/>
    <col min="3" max="3" width="12.59765625" style="1" customWidth="1"/>
    <col min="4" max="4" width="47.1328125" style="1" customWidth="1"/>
    <col min="5" max="5" width="6.1328125" style="1" customWidth="1"/>
    <col min="6" max="6" width="3.73046875" style="1" customWidth="1"/>
    <col min="7" max="7" width="8.265625" style="1" customWidth="1"/>
    <col min="8" max="8" width="11.73046875" style="1" customWidth="1"/>
    <col min="9" max="9" width="29.1328125" style="1" bestFit="1" customWidth="1"/>
    <col min="10" max="10" width="11.59765625" style="1" customWidth="1"/>
    <col min="11" max="11" width="7.265625" style="1" customWidth="1"/>
    <col min="12" max="14" width="9.1328125" style="1"/>
    <col min="15" max="15" width="28.59765625" style="1" bestFit="1" customWidth="1"/>
    <col min="16" max="16384" width="9.1328125" style="1"/>
  </cols>
  <sheetData>
    <row r="1" spans="1:15" ht="13.15" x14ac:dyDescent="0.4">
      <c r="A1" s="149" t="s">
        <v>0</v>
      </c>
      <c r="H1" s="2"/>
      <c r="I1" s="54" t="s">
        <v>113</v>
      </c>
    </row>
    <row r="2" spans="1:15" x14ac:dyDescent="0.35">
      <c r="H2" s="2"/>
    </row>
    <row r="3" spans="1:15" ht="13.15" x14ac:dyDescent="0.4">
      <c r="A3" s="149" t="s">
        <v>114</v>
      </c>
      <c r="H3" s="2"/>
      <c r="I3" s="4"/>
      <c r="J3" s="4"/>
    </row>
    <row r="4" spans="1:15" ht="13.15" x14ac:dyDescent="0.4">
      <c r="A4" s="5" t="s">
        <v>115</v>
      </c>
      <c r="B4" s="5" t="s">
        <v>116</v>
      </c>
      <c r="C4" s="4" t="s">
        <v>4</v>
      </c>
      <c r="D4" s="4" t="s">
        <v>5</v>
      </c>
      <c r="E4" s="5" t="s">
        <v>6</v>
      </c>
      <c r="F4" s="5" t="s">
        <v>7</v>
      </c>
      <c r="G4" s="5" t="s">
        <v>8</v>
      </c>
      <c r="H4" s="5" t="s">
        <v>117</v>
      </c>
      <c r="L4" s="31"/>
    </row>
    <row r="5" spans="1:15" x14ac:dyDescent="0.35">
      <c r="A5" s="42" t="s">
        <v>118</v>
      </c>
      <c r="B5" s="52" t="s">
        <v>119</v>
      </c>
      <c r="C5" s="6" t="s">
        <v>11</v>
      </c>
      <c r="D5" s="148" t="s">
        <v>71</v>
      </c>
      <c r="E5" s="6">
        <v>253</v>
      </c>
      <c r="F5" s="6">
        <v>5</v>
      </c>
      <c r="G5" s="6" t="s">
        <v>13</v>
      </c>
      <c r="H5" s="53">
        <f>'October 1 2017'!H5+0.7</f>
        <v>29.783076544000004</v>
      </c>
    </row>
    <row r="6" spans="1:15" x14ac:dyDescent="0.35">
      <c r="A6" s="6" t="s">
        <v>118</v>
      </c>
      <c r="B6" s="52" t="s">
        <v>120</v>
      </c>
      <c r="C6" s="6" t="s">
        <v>18</v>
      </c>
      <c r="D6" s="7" t="s">
        <v>19</v>
      </c>
      <c r="E6" s="6">
        <v>185</v>
      </c>
      <c r="F6" s="6">
        <v>4</v>
      </c>
      <c r="G6" s="6" t="s">
        <v>13</v>
      </c>
      <c r="H6" s="53">
        <f>'October 1 2017'!H6+0.7</f>
        <v>28.664438464000003</v>
      </c>
    </row>
    <row r="7" spans="1:15" x14ac:dyDescent="0.35">
      <c r="A7" s="6" t="s">
        <v>118</v>
      </c>
      <c r="B7" s="52" t="s">
        <v>119</v>
      </c>
      <c r="C7" s="6" t="s">
        <v>20</v>
      </c>
      <c r="D7" s="7" t="s">
        <v>21</v>
      </c>
      <c r="E7" s="6">
        <v>245</v>
      </c>
      <c r="F7" s="6">
        <v>5</v>
      </c>
      <c r="G7" s="6" t="s">
        <v>13</v>
      </c>
      <c r="H7" s="53">
        <f>'October 1 2017'!H7+0.7</f>
        <v>29.783076544000004</v>
      </c>
    </row>
    <row r="8" spans="1:15" x14ac:dyDescent="0.35">
      <c r="A8" s="6" t="s">
        <v>118</v>
      </c>
      <c r="B8" s="52" t="s">
        <v>121</v>
      </c>
      <c r="C8" s="42" t="s">
        <v>72</v>
      </c>
      <c r="D8" s="148" t="s">
        <v>98</v>
      </c>
      <c r="E8" s="6">
        <v>320</v>
      </c>
      <c r="F8" s="6">
        <v>5</v>
      </c>
      <c r="G8" s="6" t="s">
        <v>13</v>
      </c>
      <c r="H8" s="53">
        <f>'October 1 2017'!H8+0.7</f>
        <v>33.363</v>
      </c>
    </row>
    <row r="9" spans="1:15" x14ac:dyDescent="0.35">
      <c r="A9" s="42" t="s">
        <v>118</v>
      </c>
      <c r="B9" s="52" t="s">
        <v>122</v>
      </c>
      <c r="C9" s="42" t="s">
        <v>74</v>
      </c>
      <c r="D9" s="148" t="s">
        <v>99</v>
      </c>
      <c r="E9" s="6">
        <v>258</v>
      </c>
      <c r="F9" s="6">
        <v>5</v>
      </c>
      <c r="G9" s="42" t="s">
        <v>13</v>
      </c>
      <c r="H9" s="53">
        <f>'October 1 2017'!H9+0.7</f>
        <v>29.881999999999998</v>
      </c>
    </row>
    <row r="10" spans="1:15" ht="13.15" x14ac:dyDescent="0.4">
      <c r="A10" s="5"/>
      <c r="B10" s="5"/>
      <c r="C10" s="4"/>
      <c r="D10" s="4"/>
      <c r="E10" s="5"/>
      <c r="F10" s="5"/>
      <c r="G10" s="5"/>
      <c r="H10" s="5"/>
      <c r="I10" s="5"/>
      <c r="J10" s="5"/>
    </row>
    <row r="11" spans="1:15" ht="13.15" x14ac:dyDescent="0.35">
      <c r="A11" s="6"/>
      <c r="B11" s="2"/>
      <c r="C11" s="6"/>
      <c r="D11" s="23"/>
      <c r="E11" s="24"/>
      <c r="F11" s="36"/>
      <c r="G11" s="35"/>
      <c r="H11" s="35"/>
      <c r="I11" s="35"/>
      <c r="J11" s="35"/>
      <c r="N11" s="34"/>
      <c r="O11" s="34"/>
    </row>
    <row r="12" spans="1:15" ht="13.15" x14ac:dyDescent="0.4">
      <c r="A12" s="149" t="s">
        <v>35</v>
      </c>
      <c r="H12" s="2"/>
      <c r="N12" s="34"/>
      <c r="O12" s="34"/>
    </row>
    <row r="13" spans="1:15" ht="13.15" x14ac:dyDescent="0.4">
      <c r="A13" s="148" t="s">
        <v>123</v>
      </c>
      <c r="H13" s="2"/>
      <c r="N13" s="34"/>
      <c r="O13" s="34"/>
    </row>
    <row r="14" spans="1:15" x14ac:dyDescent="0.35">
      <c r="A14" s="7" t="s">
        <v>37</v>
      </c>
      <c r="H14" s="2"/>
      <c r="N14" s="34"/>
      <c r="O14" s="34"/>
    </row>
    <row r="15" spans="1:15" x14ac:dyDescent="0.35">
      <c r="A15" s="7"/>
      <c r="H15" s="2"/>
      <c r="N15" s="34"/>
      <c r="O15" s="34"/>
    </row>
    <row r="16" spans="1:15" ht="13.15" x14ac:dyDescent="0.4">
      <c r="A16" s="149" t="s">
        <v>38</v>
      </c>
      <c r="H16" s="2"/>
      <c r="N16" s="34"/>
      <c r="O16" s="34"/>
    </row>
    <row r="17" spans="1:15" x14ac:dyDescent="0.35">
      <c r="A17" s="148" t="s">
        <v>80</v>
      </c>
      <c r="H17" s="2"/>
      <c r="N17" s="34"/>
      <c r="O17" s="34"/>
    </row>
    <row r="18" spans="1:15" x14ac:dyDescent="0.35">
      <c r="H18" s="2"/>
      <c r="K18" s="26"/>
      <c r="N18" s="34"/>
      <c r="O18" s="34"/>
    </row>
    <row r="19" spans="1:15" ht="13.15" x14ac:dyDescent="0.4">
      <c r="A19" s="149" t="s">
        <v>81</v>
      </c>
      <c r="B19" s="7" t="s">
        <v>42</v>
      </c>
      <c r="H19" s="2"/>
      <c r="N19" s="34"/>
      <c r="O19" s="34"/>
    </row>
    <row r="20" spans="1:15" x14ac:dyDescent="0.35">
      <c r="A20" s="7"/>
      <c r="C20" s="26">
        <f>'October 1 2017'!C33+0.1</f>
        <v>1.3500000000000003</v>
      </c>
      <c r="D20" s="1" t="s">
        <v>43</v>
      </c>
      <c r="H20" s="2"/>
      <c r="N20" s="34"/>
      <c r="O20" s="34"/>
    </row>
    <row r="21" spans="1:15" ht="13.15" x14ac:dyDescent="0.4">
      <c r="A21" s="149" t="s">
        <v>82</v>
      </c>
      <c r="B21" s="7" t="s">
        <v>45</v>
      </c>
      <c r="H21" s="2"/>
      <c r="N21" s="34"/>
      <c r="O21" s="34"/>
    </row>
    <row r="22" spans="1:15" x14ac:dyDescent="0.35">
      <c r="A22" s="7"/>
      <c r="C22" s="26">
        <f>'October 1 2017'!C35+0.1</f>
        <v>1.8000000000000003</v>
      </c>
      <c r="D22" s="1" t="s">
        <v>43</v>
      </c>
      <c r="H22" s="2"/>
      <c r="N22" s="34"/>
      <c r="O22" s="34"/>
    </row>
    <row r="23" spans="1:15" ht="13.15" x14ac:dyDescent="0.4">
      <c r="A23" s="149" t="s">
        <v>83</v>
      </c>
      <c r="B23" s="7" t="s">
        <v>47</v>
      </c>
      <c r="H23" s="2"/>
      <c r="N23" s="34"/>
      <c r="O23" s="34"/>
    </row>
    <row r="24" spans="1:15" x14ac:dyDescent="0.35">
      <c r="A24" s="7"/>
      <c r="C24" s="26">
        <f>'October 1 2017'!C37+0.1</f>
        <v>2.0500000000000003</v>
      </c>
      <c r="D24" s="1" t="s">
        <v>43</v>
      </c>
      <c r="H24" s="2"/>
      <c r="N24" s="34"/>
      <c r="O24" s="34"/>
    </row>
    <row r="25" spans="1:15" x14ac:dyDescent="0.35">
      <c r="A25" s="148" t="s">
        <v>84</v>
      </c>
      <c r="C25" s="26"/>
      <c r="H25" s="2"/>
      <c r="N25" s="34"/>
      <c r="O25" s="34"/>
    </row>
    <row r="26" spans="1:15" x14ac:dyDescent="0.35">
      <c r="A26" s="7"/>
      <c r="C26" s="26"/>
      <c r="H26" s="2"/>
      <c r="N26" s="34"/>
      <c r="O26" s="34"/>
    </row>
    <row r="27" spans="1:15" ht="13.15" x14ac:dyDescent="0.4">
      <c r="A27" s="29" t="s">
        <v>85</v>
      </c>
      <c r="C27" s="26"/>
      <c r="H27" s="2"/>
      <c r="N27" s="34"/>
      <c r="O27" s="34"/>
    </row>
    <row r="28" spans="1:15" ht="13.15" x14ac:dyDescent="0.4">
      <c r="A28" s="148" t="s">
        <v>86</v>
      </c>
      <c r="H28" s="2"/>
    </row>
    <row r="29" spans="1:15" ht="13.15" x14ac:dyDescent="0.4">
      <c r="A29" s="148" t="s">
        <v>102</v>
      </c>
      <c r="B29" s="4"/>
      <c r="D29" s="4"/>
      <c r="G29" s="38">
        <v>0.5</v>
      </c>
      <c r="H29" s="17" t="s">
        <v>88</v>
      </c>
      <c r="I29" s="17"/>
      <c r="J29" s="17"/>
      <c r="M29" s="4"/>
      <c r="N29" s="4"/>
    </row>
    <row r="30" spans="1:15" ht="13.15" x14ac:dyDescent="0.4">
      <c r="A30" s="148"/>
      <c r="B30" s="4"/>
      <c r="D30" s="4"/>
      <c r="G30" s="38"/>
      <c r="H30" s="17"/>
      <c r="I30" s="17"/>
      <c r="J30" s="17"/>
      <c r="M30" s="4"/>
      <c r="N30" s="4"/>
    </row>
    <row r="31" spans="1:15" ht="13.15" x14ac:dyDescent="0.4">
      <c r="A31" s="148" t="s">
        <v>89</v>
      </c>
      <c r="H31" s="2"/>
      <c r="K31" s="4"/>
    </row>
    <row r="32" spans="1:15" ht="13.15" x14ac:dyDescent="0.4">
      <c r="A32" s="148" t="s">
        <v>103</v>
      </c>
    </row>
    <row r="33" spans="1:11" x14ac:dyDescent="0.35">
      <c r="A33" s="30">
        <v>1</v>
      </c>
      <c r="B33" s="17" t="s">
        <v>88</v>
      </c>
      <c r="H33" s="2"/>
    </row>
    <row r="34" spans="1:11" x14ac:dyDescent="0.35">
      <c r="H34" s="2"/>
    </row>
    <row r="35" spans="1:11" ht="13.15" x14ac:dyDescent="0.4">
      <c r="A35" s="148" t="s">
        <v>104</v>
      </c>
      <c r="H35" s="2"/>
      <c r="K35" s="4"/>
    </row>
    <row r="36" spans="1:11" ht="13.15" x14ac:dyDescent="0.4">
      <c r="A36" s="148" t="s">
        <v>105</v>
      </c>
      <c r="H36" s="2"/>
      <c r="K36" s="4"/>
    </row>
    <row r="37" spans="1:11" ht="13.15" x14ac:dyDescent="0.4">
      <c r="A37" s="148" t="s">
        <v>124</v>
      </c>
    </row>
    <row r="38" spans="1:11" x14ac:dyDescent="0.35">
      <c r="A38" s="7"/>
      <c r="E38" s="1" t="s">
        <v>93</v>
      </c>
      <c r="G38" s="38">
        <v>1</v>
      </c>
      <c r="H38" s="17" t="s">
        <v>94</v>
      </c>
    </row>
    <row r="39" spans="1:11" x14ac:dyDescent="0.35">
      <c r="A39" s="7"/>
      <c r="G39" s="38"/>
      <c r="H39" s="17"/>
    </row>
    <row r="40" spans="1:11" ht="14.25" x14ac:dyDescent="0.35">
      <c r="A40" s="43" t="s">
        <v>125</v>
      </c>
      <c r="G40" s="38"/>
      <c r="H40" s="17"/>
    </row>
    <row r="41" spans="1:11" ht="14.25" x14ac:dyDescent="0.35">
      <c r="A41" s="44" t="s">
        <v>126</v>
      </c>
      <c r="G41" s="38"/>
      <c r="H41" s="17"/>
    </row>
    <row r="42" spans="1:11" x14ac:dyDescent="0.35">
      <c r="A42" s="7"/>
      <c r="H42" s="2"/>
    </row>
    <row r="43" spans="1:11" ht="13.15" x14ac:dyDescent="0.4">
      <c r="A43" s="27" t="s">
        <v>106</v>
      </c>
      <c r="H43" s="2"/>
    </row>
    <row r="44" spans="1:11" x14ac:dyDescent="0.35">
      <c r="A44" s="27" t="s">
        <v>127</v>
      </c>
      <c r="E44" s="17" t="s">
        <v>93</v>
      </c>
      <c r="G44" s="26">
        <v>0.5</v>
      </c>
      <c r="H44" s="39" t="s">
        <v>43</v>
      </c>
    </row>
    <row r="45" spans="1:11" x14ac:dyDescent="0.35">
      <c r="A45" s="37"/>
    </row>
    <row r="46" spans="1:11" x14ac:dyDescent="0.35">
      <c r="A46" s="37"/>
      <c r="H46" s="2"/>
    </row>
    <row r="47" spans="1:11" ht="13.15" x14ac:dyDescent="0.4">
      <c r="A47" s="149" t="s">
        <v>56</v>
      </c>
      <c r="H47" s="2"/>
    </row>
    <row r="48" spans="1:11" ht="13.15" x14ac:dyDescent="0.4">
      <c r="A48" s="7" t="s">
        <v>57</v>
      </c>
      <c r="H48" s="2"/>
    </row>
    <row r="49" spans="1:12" ht="13.15" x14ac:dyDescent="0.4">
      <c r="A49" s="7" t="s">
        <v>58</v>
      </c>
      <c r="H49" s="2"/>
      <c r="I49" s="4"/>
    </row>
    <row r="50" spans="1:12" x14ac:dyDescent="0.35">
      <c r="A50" s="8">
        <v>0.35336000000000006</v>
      </c>
      <c r="B50" s="15" t="s">
        <v>59</v>
      </c>
      <c r="H50" s="2"/>
    </row>
    <row r="51" spans="1:12" x14ac:dyDescent="0.35">
      <c r="A51" s="8">
        <v>0.42884000000000005</v>
      </c>
      <c r="B51" s="15" t="s">
        <v>60</v>
      </c>
      <c r="H51" s="2"/>
    </row>
    <row r="52" spans="1:12" x14ac:dyDescent="0.35">
      <c r="A52" s="8">
        <v>0.50839999999999996</v>
      </c>
      <c r="B52" s="15" t="s">
        <v>61</v>
      </c>
      <c r="H52" s="2"/>
    </row>
    <row r="53" spans="1:12" x14ac:dyDescent="0.35">
      <c r="A53" s="8">
        <v>0.58592</v>
      </c>
      <c r="B53" s="15" t="s">
        <v>62</v>
      </c>
      <c r="C53" s="18"/>
      <c r="D53" s="18"/>
      <c r="H53" s="2"/>
    </row>
    <row r="54" spans="1:12" x14ac:dyDescent="0.35">
      <c r="A54" s="8"/>
      <c r="B54" s="18"/>
      <c r="C54" s="18"/>
      <c r="D54" s="18"/>
      <c r="H54" s="2"/>
    </row>
    <row r="55" spans="1:12" ht="13.15" x14ac:dyDescent="0.4">
      <c r="A55" s="51" t="s">
        <v>63</v>
      </c>
      <c r="B55" s="4"/>
      <c r="C55" s="4"/>
      <c r="D55" s="4"/>
      <c r="H55" s="2"/>
      <c r="J55" s="4"/>
      <c r="K55" s="4"/>
      <c r="L55" s="4"/>
    </row>
    <row r="56" spans="1:12" x14ac:dyDescent="0.35">
      <c r="A56" s="1" t="s">
        <v>64</v>
      </c>
      <c r="H56" s="2"/>
    </row>
    <row r="57" spans="1:12" x14ac:dyDescent="0.35">
      <c r="A57" s="18"/>
      <c r="B57" s="1" t="s">
        <v>65</v>
      </c>
      <c r="H57" s="2"/>
    </row>
    <row r="58" spans="1:12" x14ac:dyDescent="0.35">
      <c r="B58" s="1" t="s">
        <v>66</v>
      </c>
      <c r="H58" s="2"/>
    </row>
    <row r="59" spans="1:12" x14ac:dyDescent="0.35">
      <c r="B59" s="1" t="s">
        <v>67</v>
      </c>
      <c r="H59" s="2"/>
    </row>
    <row r="60" spans="1:12" x14ac:dyDescent="0.35">
      <c r="B60" s="1" t="s">
        <v>68</v>
      </c>
      <c r="H60" s="2"/>
    </row>
  </sheetData>
  <pageMargins left="1" right="0.25" top="0.75" bottom="0.75" header="0.3" footer="0.3"/>
  <pageSetup scale="95" orientation="landscape" r:id="rId1"/>
  <headerFooter alignWithMargins="0">
    <oddFooter>&amp;C&amp;P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B38B5-40A1-46C7-8462-55A78E522F26}">
  <dimension ref="A1:O64"/>
  <sheetViews>
    <sheetView showGridLines="0" workbookViewId="0"/>
  </sheetViews>
  <sheetFormatPr defaultColWidth="9.1328125" defaultRowHeight="12.75" x14ac:dyDescent="0.35"/>
  <cols>
    <col min="1" max="1" width="9.1328125" style="1"/>
    <col min="2" max="2" width="7" style="1" customWidth="1"/>
    <col min="3" max="3" width="12.59765625" style="1" customWidth="1"/>
    <col min="4" max="4" width="47.1328125" style="1" customWidth="1"/>
    <col min="5" max="5" width="6.1328125" style="1" customWidth="1"/>
    <col min="6" max="6" width="3.73046875" style="1" customWidth="1"/>
    <col min="7" max="7" width="8.265625" style="1" customWidth="1"/>
    <col min="8" max="8" width="11.73046875" style="1" customWidth="1"/>
    <col min="9" max="9" width="22.1328125" style="1" bestFit="1" customWidth="1"/>
    <col min="10" max="10" width="11.59765625" style="1" customWidth="1"/>
    <col min="11" max="11" width="7.265625" style="1" customWidth="1"/>
    <col min="12" max="12" width="9" style="1" hidden="1" customWidth="1"/>
    <col min="13" max="13" width="29.1328125" style="1" hidden="1" customWidth="1"/>
    <col min="14" max="14" width="11.73046875" style="1" hidden="1" customWidth="1"/>
    <col min="15" max="15" width="28.59765625" style="1" bestFit="1" customWidth="1"/>
    <col min="16" max="16384" width="9.1328125" style="1"/>
  </cols>
  <sheetData>
    <row r="1" spans="1:15" ht="13.15" x14ac:dyDescent="0.4">
      <c r="A1" s="149" t="s">
        <v>0</v>
      </c>
      <c r="I1" s="55"/>
    </row>
    <row r="2" spans="1:15" x14ac:dyDescent="0.35">
      <c r="H2" s="2"/>
    </row>
    <row r="3" spans="1:15" ht="13.15" x14ac:dyDescent="0.4">
      <c r="A3" s="164" t="s">
        <v>128</v>
      </c>
      <c r="B3" s="164"/>
      <c r="C3" s="164"/>
      <c r="H3" s="2"/>
      <c r="I3" s="4"/>
      <c r="J3" s="4"/>
    </row>
    <row r="4" spans="1:15" ht="13.15" x14ac:dyDescent="0.4">
      <c r="A4" s="5" t="s">
        <v>115</v>
      </c>
      <c r="B4" s="5" t="s">
        <v>116</v>
      </c>
      <c r="C4" s="4" t="s">
        <v>4</v>
      </c>
      <c r="D4" s="4" t="s">
        <v>5</v>
      </c>
      <c r="E4" s="5" t="s">
        <v>6</v>
      </c>
      <c r="F4" s="5" t="s">
        <v>7</v>
      </c>
      <c r="G4" s="5" t="s">
        <v>8</v>
      </c>
      <c r="H4" s="5" t="s">
        <v>117</v>
      </c>
      <c r="L4" s="31"/>
    </row>
    <row r="5" spans="1:15" x14ac:dyDescent="0.35">
      <c r="A5" s="42" t="s">
        <v>118</v>
      </c>
      <c r="B5" s="52" t="s">
        <v>119</v>
      </c>
      <c r="C5" s="6" t="s">
        <v>11</v>
      </c>
      <c r="D5" s="148" t="s">
        <v>71</v>
      </c>
      <c r="E5" s="6">
        <v>253</v>
      </c>
      <c r="F5" s="6">
        <v>5</v>
      </c>
      <c r="G5" s="6" t="s">
        <v>13</v>
      </c>
      <c r="H5" s="56">
        <f>VLOOKUP(C5,'October 1 2018'!$C$5:$H$9,6,0)*1.025</f>
        <v>30.5276534576</v>
      </c>
    </row>
    <row r="6" spans="1:15" x14ac:dyDescent="0.35">
      <c r="A6" s="6" t="s">
        <v>118</v>
      </c>
      <c r="B6" s="52" t="s">
        <v>120</v>
      </c>
      <c r="C6" s="6" t="s">
        <v>18</v>
      </c>
      <c r="D6" s="7" t="s">
        <v>19</v>
      </c>
      <c r="E6" s="6">
        <v>185</v>
      </c>
      <c r="F6" s="6">
        <v>4</v>
      </c>
      <c r="G6" s="6" t="s">
        <v>13</v>
      </c>
      <c r="H6" s="56">
        <f>VLOOKUP(C6,'October 1 2018'!$C$5:$H$9,6,0)*1.025</f>
        <v>29.381049425600001</v>
      </c>
    </row>
    <row r="7" spans="1:15" x14ac:dyDescent="0.35">
      <c r="A7" s="6" t="s">
        <v>118</v>
      </c>
      <c r="B7" s="52" t="s">
        <v>119</v>
      </c>
      <c r="C7" s="6" t="s">
        <v>20</v>
      </c>
      <c r="D7" s="7" t="s">
        <v>21</v>
      </c>
      <c r="E7" s="6">
        <v>245</v>
      </c>
      <c r="F7" s="6">
        <v>5</v>
      </c>
      <c r="G7" s="6" t="s">
        <v>13</v>
      </c>
      <c r="H7" s="56">
        <f>VLOOKUP(C7,'October 1 2018'!$C$5:$H$9,6,0)*1.025</f>
        <v>30.5276534576</v>
      </c>
    </row>
    <row r="8" spans="1:15" x14ac:dyDescent="0.35">
      <c r="A8" s="6" t="s">
        <v>118</v>
      </c>
      <c r="B8" s="52" t="s">
        <v>121</v>
      </c>
      <c r="C8" s="42" t="s">
        <v>72</v>
      </c>
      <c r="D8" s="148" t="s">
        <v>98</v>
      </c>
      <c r="E8" s="6">
        <v>320</v>
      </c>
      <c r="F8" s="6">
        <v>7</v>
      </c>
      <c r="G8" s="6" t="s">
        <v>13</v>
      </c>
      <c r="H8" s="56">
        <f>VLOOKUP(C8,'October 1 2018'!$C$5:$H$9,6,0)*1.025</f>
        <v>34.197074999999998</v>
      </c>
    </row>
    <row r="9" spans="1:15" x14ac:dyDescent="0.35">
      <c r="A9" s="42" t="s">
        <v>118</v>
      </c>
      <c r="B9" s="52" t="s">
        <v>122</v>
      </c>
      <c r="C9" s="42" t="s">
        <v>74</v>
      </c>
      <c r="D9" s="148" t="s">
        <v>99</v>
      </c>
      <c r="E9" s="6">
        <v>258</v>
      </c>
      <c r="F9" s="6">
        <v>5</v>
      </c>
      <c r="G9" s="42" t="s">
        <v>13</v>
      </c>
      <c r="H9" s="56">
        <f>VLOOKUP(C9,'October 1 2018'!$C$5:$H$9,6,0)*1.025</f>
        <v>30.629049999999996</v>
      </c>
    </row>
    <row r="10" spans="1:15" ht="13.15" x14ac:dyDescent="0.4">
      <c r="A10" s="5"/>
      <c r="B10" s="5"/>
      <c r="C10" s="4"/>
      <c r="D10" s="4"/>
      <c r="E10" s="5"/>
      <c r="F10" s="5"/>
      <c r="G10" s="5"/>
      <c r="H10" s="5"/>
      <c r="I10" s="5"/>
      <c r="J10" s="5"/>
    </row>
    <row r="11" spans="1:15" ht="13.15" x14ac:dyDescent="0.35">
      <c r="A11" s="6"/>
      <c r="B11" s="2"/>
      <c r="C11" s="6"/>
      <c r="D11" s="59"/>
      <c r="E11" s="60"/>
      <c r="F11" s="61"/>
      <c r="N11" s="62"/>
      <c r="O11" s="62"/>
    </row>
    <row r="12" spans="1:15" ht="13.15" x14ac:dyDescent="0.4">
      <c r="A12" s="149" t="s">
        <v>35</v>
      </c>
      <c r="H12" s="2"/>
      <c r="N12" s="62"/>
      <c r="O12" s="62"/>
    </row>
    <row r="13" spans="1:15" ht="13.15" x14ac:dyDescent="0.4">
      <c r="A13" s="148" t="s">
        <v>129</v>
      </c>
      <c r="H13" s="2"/>
      <c r="N13" s="62"/>
      <c r="O13" s="62"/>
    </row>
    <row r="14" spans="1:15" x14ac:dyDescent="0.35">
      <c r="A14" s="7" t="s">
        <v>37</v>
      </c>
      <c r="H14" s="2"/>
      <c r="N14" s="62"/>
      <c r="O14" s="62"/>
    </row>
    <row r="15" spans="1:15" x14ac:dyDescent="0.35">
      <c r="A15" s="7"/>
      <c r="H15" s="2"/>
      <c r="N15" s="62"/>
      <c r="O15" s="62"/>
    </row>
    <row r="16" spans="1:15" ht="13.15" x14ac:dyDescent="0.4">
      <c r="A16" s="149" t="s">
        <v>38</v>
      </c>
      <c r="H16" s="2"/>
      <c r="N16" s="62"/>
      <c r="O16" s="62"/>
    </row>
    <row r="17" spans="1:15" x14ac:dyDescent="0.35">
      <c r="A17" s="148" t="s">
        <v>80</v>
      </c>
      <c r="H17" s="2"/>
      <c r="N17" s="62"/>
      <c r="O17" s="62"/>
    </row>
    <row r="18" spans="1:15" x14ac:dyDescent="0.35">
      <c r="H18" s="2"/>
      <c r="K18" s="26"/>
      <c r="N18" s="62"/>
      <c r="O18" s="62"/>
    </row>
    <row r="19" spans="1:15" ht="13.15" x14ac:dyDescent="0.4">
      <c r="A19" s="149" t="s">
        <v>81</v>
      </c>
      <c r="B19" s="7" t="s">
        <v>42</v>
      </c>
      <c r="H19" s="2"/>
      <c r="N19" s="62"/>
      <c r="O19" s="62"/>
    </row>
    <row r="20" spans="1:15" x14ac:dyDescent="0.35">
      <c r="A20" s="7"/>
      <c r="C20" s="26">
        <f>'October 1 2018'!C20*1.025</f>
        <v>1.3837500000000003</v>
      </c>
      <c r="D20" s="1" t="s">
        <v>43</v>
      </c>
      <c r="H20" s="2"/>
      <c r="N20" s="62"/>
      <c r="O20" s="62"/>
    </row>
    <row r="21" spans="1:15" ht="13.15" x14ac:dyDescent="0.4">
      <c r="A21" s="149" t="s">
        <v>82</v>
      </c>
      <c r="B21" s="7" t="s">
        <v>45</v>
      </c>
      <c r="H21" s="2"/>
      <c r="N21" s="62"/>
      <c r="O21" s="62"/>
    </row>
    <row r="22" spans="1:15" x14ac:dyDescent="0.35">
      <c r="A22" s="7"/>
      <c r="C22" s="26">
        <f>'October 1 2018'!C22*1.025</f>
        <v>1.8450000000000002</v>
      </c>
      <c r="D22" s="1" t="s">
        <v>43</v>
      </c>
      <c r="H22" s="2"/>
      <c r="N22" s="62"/>
      <c r="O22" s="62"/>
    </row>
    <row r="23" spans="1:15" ht="13.15" x14ac:dyDescent="0.4">
      <c r="A23" s="149" t="s">
        <v>83</v>
      </c>
      <c r="B23" s="7" t="s">
        <v>47</v>
      </c>
      <c r="H23" s="2"/>
      <c r="N23" s="62"/>
      <c r="O23" s="62"/>
    </row>
    <row r="24" spans="1:15" x14ac:dyDescent="0.35">
      <c r="A24" s="7"/>
      <c r="C24" s="26">
        <f>'October 1 2018'!C24*1.025</f>
        <v>2.1012500000000003</v>
      </c>
      <c r="D24" s="1" t="s">
        <v>43</v>
      </c>
      <c r="H24" s="2"/>
      <c r="N24" s="62"/>
      <c r="O24" s="62"/>
    </row>
    <row r="25" spans="1:15" x14ac:dyDescent="0.35">
      <c r="A25" s="148" t="s">
        <v>84</v>
      </c>
      <c r="C25" s="26"/>
      <c r="H25" s="2"/>
      <c r="N25" s="62"/>
      <c r="O25" s="62"/>
    </row>
    <row r="26" spans="1:15" x14ac:dyDescent="0.35">
      <c r="A26" s="7"/>
      <c r="C26" s="26"/>
      <c r="H26" s="2"/>
      <c r="N26" s="62"/>
      <c r="O26" s="62"/>
    </row>
    <row r="27" spans="1:15" ht="13.15" x14ac:dyDescent="0.4">
      <c r="A27" s="29" t="s">
        <v>85</v>
      </c>
      <c r="C27" s="26"/>
      <c r="H27" s="2"/>
      <c r="N27" s="62"/>
      <c r="O27" s="62"/>
    </row>
    <row r="28" spans="1:15" ht="14.25" x14ac:dyDescent="0.45">
      <c r="A28" s="148" t="s">
        <v>86</v>
      </c>
      <c r="H28" s="2"/>
      <c r="K28" s="63"/>
    </row>
    <row r="29" spans="1:15" ht="13.15" x14ac:dyDescent="0.4">
      <c r="A29" s="148" t="s">
        <v>102</v>
      </c>
      <c r="B29" s="4"/>
      <c r="D29" s="4"/>
      <c r="G29" s="38">
        <v>1</v>
      </c>
      <c r="H29" s="17" t="s">
        <v>88</v>
      </c>
      <c r="I29" s="17"/>
      <c r="J29" s="17"/>
      <c r="M29" s="4"/>
      <c r="N29" s="4"/>
    </row>
    <row r="30" spans="1:15" ht="13.15" x14ac:dyDescent="0.4">
      <c r="A30" s="148"/>
      <c r="B30" s="4"/>
      <c r="D30" s="4"/>
      <c r="G30" s="38"/>
      <c r="H30" s="17"/>
      <c r="I30" s="17"/>
      <c r="J30" s="17"/>
      <c r="M30" s="4"/>
      <c r="N30" s="4"/>
    </row>
    <row r="31" spans="1:15" ht="13.15" x14ac:dyDescent="0.4">
      <c r="A31" s="148" t="s">
        <v>89</v>
      </c>
      <c r="H31" s="2"/>
      <c r="K31" s="4"/>
    </row>
    <row r="32" spans="1:15" ht="13.15" x14ac:dyDescent="0.4">
      <c r="A32" s="163" t="s">
        <v>130</v>
      </c>
      <c r="B32" s="163"/>
      <c r="C32" s="163"/>
      <c r="D32" s="163"/>
      <c r="E32" s="163"/>
      <c r="F32" s="163"/>
      <c r="G32" s="163"/>
      <c r="H32" s="163"/>
      <c r="I32" s="163"/>
    </row>
    <row r="33" spans="1:11" x14ac:dyDescent="0.35">
      <c r="A33" s="30">
        <v>1</v>
      </c>
      <c r="B33" s="17" t="s">
        <v>88</v>
      </c>
      <c r="H33" s="2"/>
    </row>
    <row r="34" spans="1:11" x14ac:dyDescent="0.35">
      <c r="H34" s="2"/>
    </row>
    <row r="35" spans="1:11" ht="13.15" x14ac:dyDescent="0.4">
      <c r="A35" s="148" t="s">
        <v>104</v>
      </c>
      <c r="H35" s="2"/>
      <c r="K35" s="4"/>
    </row>
    <row r="36" spans="1:11" ht="13.15" x14ac:dyDescent="0.4">
      <c r="A36" s="148" t="s">
        <v>105</v>
      </c>
      <c r="H36" s="2"/>
      <c r="K36" s="4"/>
    </row>
    <row r="37" spans="1:11" ht="13.15" x14ac:dyDescent="0.4">
      <c r="A37" s="148" t="s">
        <v>124</v>
      </c>
    </row>
    <row r="38" spans="1:11" x14ac:dyDescent="0.35">
      <c r="A38" s="7"/>
      <c r="E38" s="1" t="s">
        <v>93</v>
      </c>
      <c r="G38" s="38">
        <v>1</v>
      </c>
      <c r="H38" s="17" t="s">
        <v>94</v>
      </c>
    </row>
    <row r="39" spans="1:11" x14ac:dyDescent="0.35">
      <c r="A39" s="7"/>
      <c r="G39" s="38"/>
      <c r="H39" s="17"/>
    </row>
    <row r="40" spans="1:11" ht="14.25" x14ac:dyDescent="0.35">
      <c r="A40" s="64" t="s">
        <v>125</v>
      </c>
      <c r="G40" s="38"/>
      <c r="H40" s="17"/>
    </row>
    <row r="41" spans="1:11" ht="14.25" x14ac:dyDescent="0.35">
      <c r="A41" s="65" t="s">
        <v>126</v>
      </c>
      <c r="G41" s="38"/>
      <c r="H41" s="17"/>
    </row>
    <row r="42" spans="1:11" x14ac:dyDescent="0.35">
      <c r="A42" s="7"/>
      <c r="H42" s="2"/>
    </row>
    <row r="43" spans="1:11" ht="13.15" x14ac:dyDescent="0.4">
      <c r="A43" s="27" t="s">
        <v>106</v>
      </c>
      <c r="H43" s="2"/>
    </row>
    <row r="44" spans="1:11" x14ac:dyDescent="0.35">
      <c r="A44" s="27" t="s">
        <v>127</v>
      </c>
      <c r="E44" s="17" t="s">
        <v>93</v>
      </c>
      <c r="G44" s="26">
        <v>0.5</v>
      </c>
      <c r="H44" s="39" t="s">
        <v>43</v>
      </c>
    </row>
    <row r="45" spans="1:11" x14ac:dyDescent="0.35">
      <c r="A45" s="37"/>
    </row>
    <row r="46" spans="1:11" x14ac:dyDescent="0.35">
      <c r="A46" s="37"/>
      <c r="H46" s="2"/>
    </row>
    <row r="47" spans="1:11" ht="13.15" x14ac:dyDescent="0.4">
      <c r="A47" s="149" t="s">
        <v>56</v>
      </c>
      <c r="H47" s="2"/>
    </row>
    <row r="48" spans="1:11" ht="13.15" x14ac:dyDescent="0.4">
      <c r="A48" s="7" t="s">
        <v>57</v>
      </c>
      <c r="H48" s="2"/>
    </row>
    <row r="49" spans="1:14" ht="13.15" x14ac:dyDescent="0.4">
      <c r="A49" s="7" t="s">
        <v>58</v>
      </c>
      <c r="H49" s="2"/>
      <c r="I49" s="4"/>
    </row>
    <row r="50" spans="1:14" x14ac:dyDescent="0.35">
      <c r="A50" s="56">
        <f>'October 1 2018'!A50*1.025</f>
        <v>0.36219400000000002</v>
      </c>
      <c r="B50" s="15" t="s">
        <v>59</v>
      </c>
      <c r="H50" s="2"/>
    </row>
    <row r="51" spans="1:14" x14ac:dyDescent="0.35">
      <c r="A51" s="56">
        <f>'October 1 2018'!A51*1.025</f>
        <v>0.43956100000000004</v>
      </c>
      <c r="B51" s="15" t="s">
        <v>60</v>
      </c>
      <c r="H51" s="2"/>
    </row>
    <row r="52" spans="1:14" x14ac:dyDescent="0.35">
      <c r="A52" s="56">
        <f>'October 1 2018'!A52*1.025</f>
        <v>0.52110999999999996</v>
      </c>
      <c r="B52" s="15" t="s">
        <v>61</v>
      </c>
      <c r="H52" s="2"/>
    </row>
    <row r="53" spans="1:14" x14ac:dyDescent="0.35">
      <c r="A53" s="56">
        <f>'October 1 2018'!A53*1.025</f>
        <v>0.60056799999999999</v>
      </c>
      <c r="B53" s="15" t="s">
        <v>62</v>
      </c>
      <c r="C53" s="18"/>
      <c r="D53" s="18"/>
      <c r="H53" s="2"/>
    </row>
    <row r="54" spans="1:14" x14ac:dyDescent="0.35">
      <c r="A54" s="8"/>
      <c r="B54" s="18"/>
      <c r="C54" s="18"/>
      <c r="D54" s="18"/>
      <c r="H54" s="2"/>
    </row>
    <row r="55" spans="1:14" ht="13.15" x14ac:dyDescent="0.4">
      <c r="A55" s="51" t="s">
        <v>63</v>
      </c>
      <c r="B55" s="4"/>
      <c r="C55" s="4"/>
      <c r="D55" s="4"/>
      <c r="H55" s="2"/>
      <c r="J55" s="4"/>
      <c r="K55" s="4"/>
      <c r="L55" s="4"/>
    </row>
    <row r="56" spans="1:14" x14ac:dyDescent="0.35">
      <c r="A56" s="1" t="s">
        <v>64</v>
      </c>
      <c r="H56" s="2"/>
    </row>
    <row r="57" spans="1:14" x14ac:dyDescent="0.35">
      <c r="A57" s="18"/>
      <c r="B57" s="1" t="s">
        <v>65</v>
      </c>
      <c r="H57" s="2"/>
    </row>
    <row r="58" spans="1:14" x14ac:dyDescent="0.35">
      <c r="B58" s="1" t="s">
        <v>66</v>
      </c>
      <c r="H58" s="2"/>
    </row>
    <row r="59" spans="1:14" x14ac:dyDescent="0.35">
      <c r="B59" s="1" t="s">
        <v>67</v>
      </c>
      <c r="H59" s="2"/>
    </row>
    <row r="60" spans="1:14" x14ac:dyDescent="0.35">
      <c r="B60" s="1" t="s">
        <v>68</v>
      </c>
      <c r="H60" s="2"/>
    </row>
    <row r="62" spans="1:14" x14ac:dyDescent="0.35">
      <c r="L62" s="66" t="s">
        <v>131</v>
      </c>
      <c r="M62" s="68" t="s">
        <v>132</v>
      </c>
      <c r="N62" s="1">
        <v>3.02</v>
      </c>
    </row>
    <row r="63" spans="1:14" x14ac:dyDescent="0.35">
      <c r="L63" s="66" t="s">
        <v>133</v>
      </c>
      <c r="M63" s="68" t="s">
        <v>134</v>
      </c>
      <c r="N63" s="1">
        <v>3.49</v>
      </c>
    </row>
    <row r="64" spans="1:14" x14ac:dyDescent="0.35">
      <c r="L64" s="66" t="s">
        <v>135</v>
      </c>
      <c r="M64" s="68" t="s">
        <v>136</v>
      </c>
      <c r="N64" s="1">
        <v>3.74</v>
      </c>
    </row>
  </sheetData>
  <mergeCells count="2">
    <mergeCell ref="A32:I32"/>
    <mergeCell ref="A3:C3"/>
  </mergeCells>
  <pageMargins left="1" right="0.25" top="0.75" bottom="0.75" header="0.3" footer="0.3"/>
  <pageSetup scale="95" orientation="landscape"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CD289-D75D-4F4D-A6B8-A67E7A70B7A2}">
  <dimension ref="A1:O64"/>
  <sheetViews>
    <sheetView showGridLines="0" topLeftCell="H52" workbookViewId="0">
      <selection activeCell="N64" sqref="N64"/>
    </sheetView>
  </sheetViews>
  <sheetFormatPr defaultColWidth="9.1328125" defaultRowHeight="12.75" x14ac:dyDescent="0.35"/>
  <cols>
    <col min="1" max="1" width="9.1328125" style="1"/>
    <col min="2" max="2" width="7" style="1" customWidth="1"/>
    <col min="3" max="3" width="12.59765625" style="1" customWidth="1"/>
    <col min="4" max="4" width="47.1328125" style="1" customWidth="1"/>
    <col min="5" max="5" width="6.1328125" style="1" customWidth="1"/>
    <col min="6" max="6" width="3.73046875" style="1" customWidth="1"/>
    <col min="7" max="7" width="8.265625" style="1" customWidth="1"/>
    <col min="8" max="8" width="11.73046875" style="1" customWidth="1"/>
    <col min="9" max="9" width="22.1328125" style="1" bestFit="1" customWidth="1"/>
    <col min="10" max="10" width="11.59765625" style="1" customWidth="1"/>
    <col min="11" max="11" width="7.265625" style="1" customWidth="1"/>
    <col min="12" max="12" width="9" style="1" bestFit="1" customWidth="1"/>
    <col min="13" max="13" width="29.1328125" style="1" bestFit="1" customWidth="1"/>
    <col min="14" max="14" width="5" style="1" bestFit="1" customWidth="1"/>
    <col min="15" max="15" width="28.59765625" style="1" bestFit="1" customWidth="1"/>
    <col min="16" max="16384" width="9.1328125" style="1"/>
  </cols>
  <sheetData>
    <row r="1" spans="1:15" ht="13.15" x14ac:dyDescent="0.4">
      <c r="A1" s="149" t="s">
        <v>0</v>
      </c>
      <c r="I1" s="55"/>
    </row>
    <row r="2" spans="1:15" x14ac:dyDescent="0.35">
      <c r="H2" s="2"/>
    </row>
    <row r="3" spans="1:15" ht="13.15" x14ac:dyDescent="0.4">
      <c r="A3" s="164" t="s">
        <v>137</v>
      </c>
      <c r="B3" s="164"/>
      <c r="C3" s="164"/>
      <c r="H3" s="2"/>
      <c r="I3" s="4"/>
      <c r="J3" s="4"/>
    </row>
    <row r="4" spans="1:15" ht="13.15" x14ac:dyDescent="0.4">
      <c r="A4" s="5" t="s">
        <v>115</v>
      </c>
      <c r="B4" s="5" t="s">
        <v>116</v>
      </c>
      <c r="C4" s="4" t="s">
        <v>4</v>
      </c>
      <c r="D4" s="4" t="s">
        <v>5</v>
      </c>
      <c r="E4" s="5" t="s">
        <v>6</v>
      </c>
      <c r="F4" s="5" t="s">
        <v>7</v>
      </c>
      <c r="G4" s="5" t="s">
        <v>8</v>
      </c>
      <c r="H4" s="5" t="s">
        <v>117</v>
      </c>
      <c r="L4" s="31"/>
    </row>
    <row r="5" spans="1:15" x14ac:dyDescent="0.35">
      <c r="A5" s="42" t="s">
        <v>118</v>
      </c>
      <c r="B5" s="52" t="s">
        <v>119</v>
      </c>
      <c r="C5" s="6" t="s">
        <v>11</v>
      </c>
      <c r="D5" s="148" t="s">
        <v>71</v>
      </c>
      <c r="E5" s="6">
        <v>253</v>
      </c>
      <c r="F5" s="6">
        <v>5</v>
      </c>
      <c r="G5" s="6" t="s">
        <v>13</v>
      </c>
      <c r="H5" s="56">
        <f>VLOOKUP(C5,'October 1 2019'!$C$5:$H$9,6,0)</f>
        <v>30.5276534576</v>
      </c>
    </row>
    <row r="6" spans="1:15" x14ac:dyDescent="0.35">
      <c r="A6" s="6" t="s">
        <v>118</v>
      </c>
      <c r="B6" s="52" t="s">
        <v>120</v>
      </c>
      <c r="C6" s="6" t="s">
        <v>18</v>
      </c>
      <c r="D6" s="7" t="s">
        <v>19</v>
      </c>
      <c r="E6" s="6">
        <v>185</v>
      </c>
      <c r="F6" s="6">
        <v>4</v>
      </c>
      <c r="G6" s="6" t="s">
        <v>13</v>
      </c>
      <c r="H6" s="56">
        <f>VLOOKUP(C6,'October 1 2019'!$C$5:$H$9,6,0)</f>
        <v>29.381049425600001</v>
      </c>
    </row>
    <row r="7" spans="1:15" x14ac:dyDescent="0.35">
      <c r="A7" s="6" t="s">
        <v>118</v>
      </c>
      <c r="B7" s="52" t="s">
        <v>119</v>
      </c>
      <c r="C7" s="6" t="s">
        <v>20</v>
      </c>
      <c r="D7" s="7" t="s">
        <v>21</v>
      </c>
      <c r="E7" s="6">
        <v>245</v>
      </c>
      <c r="F7" s="6">
        <v>5</v>
      </c>
      <c r="G7" s="6" t="s">
        <v>13</v>
      </c>
      <c r="H7" s="56">
        <f>VLOOKUP(C7,'October 1 2019'!$C$5:$H$9,6,0)</f>
        <v>30.5276534576</v>
      </c>
    </row>
    <row r="8" spans="1:15" x14ac:dyDescent="0.35">
      <c r="A8" s="6" t="s">
        <v>118</v>
      </c>
      <c r="B8" s="52" t="s">
        <v>121</v>
      </c>
      <c r="C8" s="42" t="s">
        <v>72</v>
      </c>
      <c r="D8" s="148" t="s">
        <v>98</v>
      </c>
      <c r="E8" s="6">
        <v>320</v>
      </c>
      <c r="F8" s="6">
        <v>7</v>
      </c>
      <c r="G8" s="6" t="s">
        <v>13</v>
      </c>
      <c r="H8" s="56">
        <f>VLOOKUP(C8,'October 1 2019'!$C$5:$H$9,6,0)</f>
        <v>34.197074999999998</v>
      </c>
    </row>
    <row r="9" spans="1:15" x14ac:dyDescent="0.35">
      <c r="A9" s="42" t="s">
        <v>118</v>
      </c>
      <c r="B9" s="52" t="s">
        <v>122</v>
      </c>
      <c r="C9" s="42" t="s">
        <v>74</v>
      </c>
      <c r="D9" s="148" t="s">
        <v>99</v>
      </c>
      <c r="E9" s="6">
        <v>258</v>
      </c>
      <c r="F9" s="6">
        <v>5</v>
      </c>
      <c r="G9" s="42" t="s">
        <v>13</v>
      </c>
      <c r="H9" s="56">
        <f>VLOOKUP(C9,'October 1 2019'!$C$5:$H$9,6,0)</f>
        <v>30.629049999999996</v>
      </c>
    </row>
    <row r="10" spans="1:15" ht="13.15" x14ac:dyDescent="0.4">
      <c r="A10" s="5"/>
      <c r="B10" s="5"/>
      <c r="C10" s="4"/>
      <c r="D10" s="4"/>
      <c r="E10" s="5"/>
      <c r="F10" s="5"/>
      <c r="G10" s="5"/>
      <c r="H10" s="5"/>
      <c r="I10" s="5"/>
      <c r="J10" s="5"/>
    </row>
    <row r="11" spans="1:15" ht="13.15" x14ac:dyDescent="0.35">
      <c r="A11" s="6"/>
      <c r="B11" s="2"/>
      <c r="C11" s="6"/>
      <c r="D11" s="59"/>
      <c r="E11" s="60"/>
      <c r="F11" s="61"/>
      <c r="N11" s="62"/>
      <c r="O11" s="62"/>
    </row>
    <row r="12" spans="1:15" ht="13.15" x14ac:dyDescent="0.4">
      <c r="A12" s="149" t="s">
        <v>35</v>
      </c>
      <c r="H12" s="2"/>
      <c r="N12" s="62"/>
      <c r="O12" s="62"/>
    </row>
    <row r="13" spans="1:15" ht="13.15" x14ac:dyDescent="0.4">
      <c r="A13" s="148" t="s">
        <v>129</v>
      </c>
      <c r="H13" s="2"/>
      <c r="N13" s="62"/>
      <c r="O13" s="62"/>
    </row>
    <row r="14" spans="1:15" x14ac:dyDescent="0.35">
      <c r="A14" s="7" t="s">
        <v>37</v>
      </c>
      <c r="H14" s="2"/>
      <c r="N14" s="62"/>
      <c r="O14" s="62"/>
    </row>
    <row r="15" spans="1:15" x14ac:dyDescent="0.35">
      <c r="A15" s="7"/>
      <c r="H15" s="2"/>
      <c r="N15" s="62"/>
      <c r="O15" s="62"/>
    </row>
    <row r="16" spans="1:15" ht="13.15" x14ac:dyDescent="0.4">
      <c r="A16" s="149" t="s">
        <v>38</v>
      </c>
      <c r="H16" s="2"/>
      <c r="N16" s="62"/>
      <c r="O16" s="62"/>
    </row>
    <row r="17" spans="1:15" x14ac:dyDescent="0.35">
      <c r="A17" s="148" t="s">
        <v>80</v>
      </c>
      <c r="H17" s="2"/>
      <c r="N17" s="62"/>
      <c r="O17" s="62"/>
    </row>
    <row r="18" spans="1:15" x14ac:dyDescent="0.35">
      <c r="H18" s="2"/>
      <c r="K18" s="26"/>
      <c r="N18" s="62"/>
      <c r="O18" s="62"/>
    </row>
    <row r="19" spans="1:15" ht="13.15" x14ac:dyDescent="0.4">
      <c r="A19" s="149" t="s">
        <v>81</v>
      </c>
      <c r="B19" s="7" t="s">
        <v>42</v>
      </c>
      <c r="H19" s="2"/>
      <c r="N19" s="62"/>
      <c r="O19" s="62"/>
    </row>
    <row r="20" spans="1:15" x14ac:dyDescent="0.35">
      <c r="A20" s="7"/>
      <c r="C20" s="26">
        <f>'October 1 2019'!C20</f>
        <v>1.3837500000000003</v>
      </c>
      <c r="D20" s="1" t="s">
        <v>43</v>
      </c>
      <c r="H20" s="2"/>
      <c r="N20" s="62"/>
      <c r="O20" s="62"/>
    </row>
    <row r="21" spans="1:15" ht="13.15" x14ac:dyDescent="0.4">
      <c r="A21" s="149" t="s">
        <v>82</v>
      </c>
      <c r="B21" s="7" t="s">
        <v>45</v>
      </c>
      <c r="H21" s="2"/>
      <c r="N21" s="62"/>
      <c r="O21" s="62"/>
    </row>
    <row r="22" spans="1:15" x14ac:dyDescent="0.35">
      <c r="A22" s="7"/>
      <c r="C22" s="26">
        <f>'October 1 2019'!C22</f>
        <v>1.8450000000000002</v>
      </c>
      <c r="D22" s="1" t="s">
        <v>43</v>
      </c>
      <c r="H22" s="2"/>
      <c r="N22" s="62"/>
      <c r="O22" s="62"/>
    </row>
    <row r="23" spans="1:15" ht="13.15" x14ac:dyDescent="0.4">
      <c r="A23" s="149" t="s">
        <v>83</v>
      </c>
      <c r="B23" s="7" t="s">
        <v>47</v>
      </c>
      <c r="H23" s="2"/>
      <c r="N23" s="62"/>
      <c r="O23" s="62"/>
    </row>
    <row r="24" spans="1:15" x14ac:dyDescent="0.35">
      <c r="A24" s="7"/>
      <c r="C24" s="26">
        <f>'October 1 2019'!C24</f>
        <v>2.1012500000000003</v>
      </c>
      <c r="D24" s="1" t="s">
        <v>43</v>
      </c>
      <c r="H24" s="2"/>
      <c r="N24" s="62"/>
      <c r="O24" s="62"/>
    </row>
    <row r="25" spans="1:15" x14ac:dyDescent="0.35">
      <c r="A25" s="148" t="s">
        <v>84</v>
      </c>
      <c r="C25" s="26"/>
      <c r="H25" s="2"/>
      <c r="N25" s="62"/>
      <c r="O25" s="62"/>
    </row>
    <row r="26" spans="1:15" x14ac:dyDescent="0.35">
      <c r="A26" s="7"/>
      <c r="C26" s="26"/>
      <c r="H26" s="2"/>
      <c r="N26" s="62"/>
      <c r="O26" s="62"/>
    </row>
    <row r="27" spans="1:15" ht="13.15" x14ac:dyDescent="0.4">
      <c r="A27" s="29" t="s">
        <v>85</v>
      </c>
      <c r="C27" s="26"/>
      <c r="H27" s="2"/>
      <c r="N27" s="62"/>
      <c r="O27" s="62"/>
    </row>
    <row r="28" spans="1:15" ht="14.25" x14ac:dyDescent="0.45">
      <c r="A28" s="148" t="s">
        <v>86</v>
      </c>
      <c r="H28" s="2"/>
      <c r="K28" s="63"/>
    </row>
    <row r="29" spans="1:15" ht="13.15" x14ac:dyDescent="0.4">
      <c r="A29" s="148" t="s">
        <v>102</v>
      </c>
      <c r="B29" s="4"/>
      <c r="D29" s="4"/>
      <c r="G29" s="38">
        <v>1</v>
      </c>
      <c r="H29" s="17" t="s">
        <v>88</v>
      </c>
      <c r="I29" s="17"/>
      <c r="J29" s="17"/>
      <c r="M29" s="4"/>
      <c r="N29" s="4"/>
    </row>
    <row r="30" spans="1:15" ht="13.15" x14ac:dyDescent="0.4">
      <c r="A30" s="148"/>
      <c r="B30" s="4"/>
      <c r="D30" s="4"/>
      <c r="G30" s="38"/>
      <c r="H30" s="17"/>
      <c r="I30" s="17"/>
      <c r="J30" s="17"/>
      <c r="M30" s="4"/>
      <c r="N30" s="4"/>
    </row>
    <row r="31" spans="1:15" ht="13.15" x14ac:dyDescent="0.4">
      <c r="A31" s="148" t="s">
        <v>89</v>
      </c>
      <c r="H31" s="2"/>
      <c r="K31" s="4"/>
    </row>
    <row r="32" spans="1:15" ht="13.15" x14ac:dyDescent="0.4">
      <c r="A32" s="148" t="s">
        <v>130</v>
      </c>
    </row>
    <row r="33" spans="1:11" x14ac:dyDescent="0.35">
      <c r="A33" s="30">
        <v>1</v>
      </c>
      <c r="B33" s="17" t="s">
        <v>88</v>
      </c>
      <c r="H33" s="2"/>
    </row>
    <row r="34" spans="1:11" x14ac:dyDescent="0.35">
      <c r="H34" s="2"/>
    </row>
    <row r="35" spans="1:11" ht="13.15" x14ac:dyDescent="0.4">
      <c r="A35" s="148" t="s">
        <v>104</v>
      </c>
      <c r="H35" s="2"/>
      <c r="K35" s="4"/>
    </row>
    <row r="36" spans="1:11" ht="13.15" x14ac:dyDescent="0.4">
      <c r="A36" s="148" t="s">
        <v>105</v>
      </c>
      <c r="H36" s="2"/>
      <c r="K36" s="4"/>
    </row>
    <row r="37" spans="1:11" ht="13.15" x14ac:dyDescent="0.4">
      <c r="A37" s="148" t="s">
        <v>124</v>
      </c>
    </row>
    <row r="38" spans="1:11" x14ac:dyDescent="0.35">
      <c r="A38" s="7"/>
      <c r="E38" s="1" t="s">
        <v>93</v>
      </c>
      <c r="G38" s="38">
        <v>1</v>
      </c>
      <c r="H38" s="17" t="s">
        <v>94</v>
      </c>
    </row>
    <row r="39" spans="1:11" x14ac:dyDescent="0.35">
      <c r="A39" s="7"/>
      <c r="G39" s="38"/>
      <c r="H39" s="17"/>
    </row>
    <row r="40" spans="1:11" ht="14.25" x14ac:dyDescent="0.35">
      <c r="A40" s="64" t="s">
        <v>125</v>
      </c>
      <c r="G40" s="38"/>
      <c r="H40" s="17"/>
    </row>
    <row r="41" spans="1:11" ht="14.25" x14ac:dyDescent="0.35">
      <c r="A41" s="65" t="s">
        <v>126</v>
      </c>
      <c r="G41" s="38"/>
      <c r="H41" s="17"/>
    </row>
    <row r="42" spans="1:11" x14ac:dyDescent="0.35">
      <c r="A42" s="7"/>
      <c r="H42" s="2"/>
    </row>
    <row r="43" spans="1:11" ht="12" customHeight="1" x14ac:dyDescent="0.4">
      <c r="A43" s="27" t="s">
        <v>138</v>
      </c>
      <c r="H43" s="2"/>
    </row>
    <row r="44" spans="1:11" x14ac:dyDescent="0.35">
      <c r="A44" s="27" t="s">
        <v>139</v>
      </c>
      <c r="E44" s="17" t="s">
        <v>93</v>
      </c>
      <c r="G44" s="26">
        <v>0.25</v>
      </c>
      <c r="H44" s="39" t="s">
        <v>43</v>
      </c>
    </row>
    <row r="45" spans="1:11" x14ac:dyDescent="0.35">
      <c r="A45" s="37"/>
    </row>
    <row r="46" spans="1:11" x14ac:dyDescent="0.35">
      <c r="A46" s="37"/>
      <c r="H46" s="2"/>
    </row>
    <row r="47" spans="1:11" ht="13.15" x14ac:dyDescent="0.4">
      <c r="A47" s="149" t="s">
        <v>56</v>
      </c>
      <c r="H47" s="2"/>
    </row>
    <row r="48" spans="1:11" ht="13.15" x14ac:dyDescent="0.4">
      <c r="A48" s="7" t="s">
        <v>57</v>
      </c>
      <c r="H48" s="2"/>
    </row>
    <row r="49" spans="1:14" ht="13.15" x14ac:dyDescent="0.4">
      <c r="A49" s="7" t="s">
        <v>58</v>
      </c>
      <c r="H49" s="2"/>
      <c r="I49" s="4"/>
    </row>
    <row r="50" spans="1:14" x14ac:dyDescent="0.35">
      <c r="A50" s="56">
        <f>'October 1 2019'!A50</f>
        <v>0.36219400000000002</v>
      </c>
      <c r="B50" s="15" t="s">
        <v>59</v>
      </c>
      <c r="H50" s="2"/>
    </row>
    <row r="51" spans="1:14" x14ac:dyDescent="0.35">
      <c r="A51" s="56">
        <f>'October 1 2019'!A51</f>
        <v>0.43956100000000004</v>
      </c>
      <c r="B51" s="15" t="s">
        <v>60</v>
      </c>
      <c r="H51" s="2"/>
    </row>
    <row r="52" spans="1:14" x14ac:dyDescent="0.35">
      <c r="A52" s="56">
        <f>'October 1 2019'!A52</f>
        <v>0.52110999999999996</v>
      </c>
      <c r="B52" s="15" t="s">
        <v>61</v>
      </c>
      <c r="H52" s="2"/>
    </row>
    <row r="53" spans="1:14" x14ac:dyDescent="0.35">
      <c r="A53" s="56">
        <f>'October 1 2019'!A53</f>
        <v>0.60056799999999999</v>
      </c>
      <c r="B53" s="15" t="s">
        <v>62</v>
      </c>
      <c r="C53" s="18"/>
      <c r="D53" s="18"/>
      <c r="H53" s="2"/>
    </row>
    <row r="54" spans="1:14" x14ac:dyDescent="0.35">
      <c r="A54" s="8"/>
      <c r="B54" s="18"/>
      <c r="C54" s="18"/>
      <c r="D54" s="18"/>
      <c r="H54" s="2"/>
    </row>
    <row r="55" spans="1:14" ht="13.15" x14ac:dyDescent="0.4">
      <c r="A55" s="51" t="s">
        <v>63</v>
      </c>
      <c r="B55" s="4"/>
      <c r="C55" s="4"/>
      <c r="D55" s="4"/>
      <c r="H55" s="2"/>
      <c r="J55" s="4"/>
      <c r="K55" s="4"/>
      <c r="L55" s="4"/>
    </row>
    <row r="56" spans="1:14" x14ac:dyDescent="0.35">
      <c r="A56" s="1" t="s">
        <v>64</v>
      </c>
      <c r="H56" s="2"/>
    </row>
    <row r="57" spans="1:14" x14ac:dyDescent="0.35">
      <c r="A57" s="18"/>
      <c r="B57" s="1" t="s">
        <v>65</v>
      </c>
      <c r="H57" s="2"/>
    </row>
    <row r="58" spans="1:14" x14ac:dyDescent="0.35">
      <c r="B58" s="1" t="s">
        <v>66</v>
      </c>
      <c r="H58" s="2"/>
    </row>
    <row r="59" spans="1:14" x14ac:dyDescent="0.35">
      <c r="B59" s="1" t="s">
        <v>67</v>
      </c>
      <c r="H59" s="2"/>
    </row>
    <row r="60" spans="1:14" x14ac:dyDescent="0.35">
      <c r="B60" s="1" t="s">
        <v>68</v>
      </c>
      <c r="H60" s="2"/>
    </row>
    <row r="62" spans="1:14" x14ac:dyDescent="0.35">
      <c r="L62" s="66" t="s">
        <v>131</v>
      </c>
      <c r="M62" s="68" t="s">
        <v>132</v>
      </c>
      <c r="N62" s="1">
        <v>3.02</v>
      </c>
    </row>
    <row r="63" spans="1:14" x14ac:dyDescent="0.35">
      <c r="L63" s="66" t="s">
        <v>133</v>
      </c>
      <c r="M63" s="68" t="s">
        <v>134</v>
      </c>
      <c r="N63" s="1">
        <v>3.49</v>
      </c>
    </row>
    <row r="64" spans="1:14" x14ac:dyDescent="0.35">
      <c r="L64" s="66" t="s">
        <v>135</v>
      </c>
      <c r="M64" s="68" t="s">
        <v>136</v>
      </c>
      <c r="N64" s="1">
        <v>3.74</v>
      </c>
    </row>
  </sheetData>
  <mergeCells count="1">
    <mergeCell ref="A3:C3"/>
  </mergeCells>
  <pageMargins left="1" right="0.25" top="0.75" bottom="0.75" header="0.3" footer="0.3"/>
  <pageSetup scale="95" orientation="landscape"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FA18C-E0E5-4E19-9253-C5C9231F5090}">
  <dimension ref="A1:O64"/>
  <sheetViews>
    <sheetView showGridLines="0" topLeftCell="A48" workbookViewId="0">
      <selection activeCell="N64" sqref="N64"/>
    </sheetView>
  </sheetViews>
  <sheetFormatPr defaultColWidth="9.1328125" defaultRowHeight="12.75" x14ac:dyDescent="0.35"/>
  <cols>
    <col min="1" max="1" width="9.1328125" style="1"/>
    <col min="2" max="2" width="7" style="1" customWidth="1"/>
    <col min="3" max="3" width="12.59765625" style="1" customWidth="1"/>
    <col min="4" max="4" width="57.73046875" style="1" bestFit="1" customWidth="1"/>
    <col min="5" max="5" width="6.1328125" style="1" customWidth="1"/>
    <col min="6" max="6" width="3.73046875" style="1" customWidth="1"/>
    <col min="7" max="7" width="8.265625" style="1" customWidth="1"/>
    <col min="8" max="8" width="11.73046875" style="1" customWidth="1"/>
    <col min="9" max="9" width="22.1328125" style="1" bestFit="1" customWidth="1"/>
    <col min="10" max="10" width="11.59765625" style="1" customWidth="1"/>
    <col min="11" max="11" width="7.265625" style="1" hidden="1" customWidth="1"/>
    <col min="12" max="12" width="9.265625" style="66" bestFit="1" customWidth="1"/>
    <col min="13" max="13" width="29.1328125" style="68" bestFit="1" customWidth="1"/>
    <col min="14" max="14" width="7.59765625" style="71" bestFit="1" customWidth="1"/>
    <col min="15" max="15" width="28.59765625" style="1" hidden="1" customWidth="1"/>
    <col min="16" max="16384" width="9.1328125" style="1"/>
  </cols>
  <sheetData>
    <row r="1" spans="1:15" ht="13.15" x14ac:dyDescent="0.4">
      <c r="A1" s="149" t="s">
        <v>0</v>
      </c>
      <c r="I1" s="55"/>
    </row>
    <row r="2" spans="1:15" x14ac:dyDescent="0.35">
      <c r="H2" s="2"/>
    </row>
    <row r="3" spans="1:15" ht="13.15" x14ac:dyDescent="0.4">
      <c r="A3" s="164" t="s">
        <v>137</v>
      </c>
      <c r="B3" s="164"/>
      <c r="C3" s="164"/>
      <c r="H3" s="2"/>
      <c r="I3" s="4"/>
      <c r="J3" s="4"/>
    </row>
    <row r="4" spans="1:15" ht="13.15" x14ac:dyDescent="0.4">
      <c r="A4" s="5" t="s">
        <v>115</v>
      </c>
      <c r="B4" s="5" t="s">
        <v>116</v>
      </c>
      <c r="C4" s="4" t="s">
        <v>4</v>
      </c>
      <c r="D4" s="4" t="s">
        <v>5</v>
      </c>
      <c r="E4" s="5" t="s">
        <v>6</v>
      </c>
      <c r="F4" s="5" t="s">
        <v>7</v>
      </c>
      <c r="G4" s="5" t="s">
        <v>8</v>
      </c>
      <c r="H4" s="5" t="s">
        <v>117</v>
      </c>
      <c r="L4" s="67" t="s">
        <v>140</v>
      </c>
      <c r="M4" s="68" t="s">
        <v>141</v>
      </c>
      <c r="N4" s="71" t="s">
        <v>142</v>
      </c>
    </row>
    <row r="5" spans="1:15" x14ac:dyDescent="0.35">
      <c r="A5" s="42" t="s">
        <v>118</v>
      </c>
      <c r="B5" s="52" t="s">
        <v>119</v>
      </c>
      <c r="C5" s="6" t="s">
        <v>11</v>
      </c>
      <c r="D5" s="148" t="s">
        <v>71</v>
      </c>
      <c r="E5" s="6">
        <v>253</v>
      </c>
      <c r="F5" s="6">
        <v>5</v>
      </c>
      <c r="G5" s="6" t="s">
        <v>13</v>
      </c>
      <c r="H5" s="56">
        <f>VLOOKUP(C5,'October 1 2019'!$C$5:$H$9,6,0)*1.025</f>
        <v>31.290844794039998</v>
      </c>
      <c r="L5" s="70" t="str">
        <f>C5</f>
        <v>07300C</v>
      </c>
      <c r="M5" s="68" t="s">
        <v>119</v>
      </c>
      <c r="N5" s="74">
        <f>H5</f>
        <v>31.290844794039998</v>
      </c>
    </row>
    <row r="6" spans="1:15" x14ac:dyDescent="0.35">
      <c r="A6" s="42" t="s">
        <v>118</v>
      </c>
      <c r="B6" s="52" t="s">
        <v>143</v>
      </c>
      <c r="C6" s="6" t="s">
        <v>144</v>
      </c>
      <c r="D6" s="148" t="s">
        <v>145</v>
      </c>
      <c r="E6" s="6">
        <v>303</v>
      </c>
      <c r="F6" s="6">
        <v>6</v>
      </c>
      <c r="G6" s="6" t="s">
        <v>13</v>
      </c>
      <c r="H6" s="56">
        <v>33.19</v>
      </c>
      <c r="L6" s="70" t="str">
        <f t="shared" ref="L6:L10" si="0">C6</f>
        <v>59400C</v>
      </c>
      <c r="N6" s="74">
        <f t="shared" ref="N6:N10" si="1">H6</f>
        <v>33.19</v>
      </c>
    </row>
    <row r="7" spans="1:15" x14ac:dyDescent="0.35">
      <c r="A7" s="6" t="s">
        <v>118</v>
      </c>
      <c r="B7" s="52" t="s">
        <v>120</v>
      </c>
      <c r="C7" s="6" t="s">
        <v>18</v>
      </c>
      <c r="D7" s="7" t="s">
        <v>19</v>
      </c>
      <c r="E7" s="6">
        <v>185</v>
      </c>
      <c r="F7" s="6">
        <v>4</v>
      </c>
      <c r="G7" s="6" t="s">
        <v>13</v>
      </c>
      <c r="H7" s="56">
        <f>VLOOKUP(C7,'October 1 2019'!$C$5:$H$9,6,0)*1.025</f>
        <v>30.115575661239998</v>
      </c>
      <c r="L7" s="70" t="str">
        <f t="shared" si="0"/>
        <v>09330C</v>
      </c>
      <c r="M7" s="68" t="s">
        <v>120</v>
      </c>
      <c r="N7" s="74">
        <f t="shared" si="1"/>
        <v>30.115575661239998</v>
      </c>
    </row>
    <row r="8" spans="1:15" x14ac:dyDescent="0.35">
      <c r="A8" s="6" t="s">
        <v>118</v>
      </c>
      <c r="B8" s="52" t="s">
        <v>119</v>
      </c>
      <c r="C8" s="6" t="s">
        <v>20</v>
      </c>
      <c r="D8" s="7" t="s">
        <v>21</v>
      </c>
      <c r="E8" s="6">
        <v>245</v>
      </c>
      <c r="F8" s="6">
        <v>5</v>
      </c>
      <c r="G8" s="6" t="s">
        <v>13</v>
      </c>
      <c r="H8" s="56">
        <f>VLOOKUP(C8,'October 1 2019'!$C$5:$H$9,6,0)*1.025</f>
        <v>31.290844794039998</v>
      </c>
      <c r="L8" s="70" t="str">
        <f t="shared" si="0"/>
        <v>09340C</v>
      </c>
      <c r="M8" s="68" t="s">
        <v>119</v>
      </c>
      <c r="N8" s="74">
        <f t="shared" si="1"/>
        <v>31.290844794039998</v>
      </c>
    </row>
    <row r="9" spans="1:15" x14ac:dyDescent="0.35">
      <c r="A9" s="6" t="s">
        <v>118</v>
      </c>
      <c r="B9" s="52" t="s">
        <v>121</v>
      </c>
      <c r="C9" s="42" t="s">
        <v>72</v>
      </c>
      <c r="D9" s="148" t="s">
        <v>98</v>
      </c>
      <c r="E9" s="6">
        <v>320</v>
      </c>
      <c r="F9" s="6">
        <v>7</v>
      </c>
      <c r="G9" s="6" t="s">
        <v>13</v>
      </c>
      <c r="H9" s="56">
        <f>VLOOKUP(C9,'October 1 2019'!$C$5:$H$9,6,0)*1.025</f>
        <v>35.052001874999995</v>
      </c>
      <c r="L9" s="70" t="str">
        <f t="shared" si="0"/>
        <v>09345C</v>
      </c>
      <c r="M9" s="68" t="s">
        <v>121</v>
      </c>
      <c r="N9" s="74">
        <f t="shared" si="1"/>
        <v>35.052001874999995</v>
      </c>
    </row>
    <row r="10" spans="1:15" x14ac:dyDescent="0.35">
      <c r="A10" s="42" t="s">
        <v>118</v>
      </c>
      <c r="B10" s="52" t="s">
        <v>122</v>
      </c>
      <c r="C10" s="42" t="s">
        <v>74</v>
      </c>
      <c r="D10" s="148" t="s">
        <v>99</v>
      </c>
      <c r="E10" s="6">
        <v>258</v>
      </c>
      <c r="F10" s="6">
        <v>5</v>
      </c>
      <c r="G10" s="42" t="s">
        <v>13</v>
      </c>
      <c r="H10" s="56">
        <f>VLOOKUP(C10,'October 1 2019'!$C$5:$H$9,6,0)*1.025</f>
        <v>31.394776249999993</v>
      </c>
      <c r="L10" s="70" t="str">
        <f t="shared" si="0"/>
        <v>10859C</v>
      </c>
      <c r="M10" s="68" t="s">
        <v>122</v>
      </c>
      <c r="N10" s="74">
        <f t="shared" si="1"/>
        <v>31.394776249999993</v>
      </c>
    </row>
    <row r="11" spans="1:15" ht="13.15" x14ac:dyDescent="0.4">
      <c r="A11" s="5"/>
      <c r="B11" s="5"/>
      <c r="C11" s="4"/>
      <c r="D11" s="4"/>
      <c r="E11" s="5"/>
      <c r="F11" s="5"/>
      <c r="G11" s="5"/>
      <c r="H11" s="5"/>
      <c r="I11" s="5"/>
      <c r="J11" s="5"/>
    </row>
    <row r="12" spans="1:15" ht="13.15" x14ac:dyDescent="0.35">
      <c r="A12" s="6"/>
      <c r="B12" s="2"/>
      <c r="C12" s="6"/>
      <c r="D12" s="59"/>
      <c r="E12" s="60"/>
      <c r="F12" s="61"/>
      <c r="O12" s="62"/>
    </row>
    <row r="13" spans="1:15" ht="13.15" x14ac:dyDescent="0.4">
      <c r="A13" s="149" t="s">
        <v>35</v>
      </c>
      <c r="H13" s="2"/>
      <c r="O13" s="62"/>
    </row>
    <row r="14" spans="1:15" ht="13.15" x14ac:dyDescent="0.4">
      <c r="A14" s="148" t="s">
        <v>146</v>
      </c>
      <c r="H14" s="2"/>
      <c r="L14" s="66" t="s">
        <v>147</v>
      </c>
      <c r="M14" s="68" t="s">
        <v>148</v>
      </c>
      <c r="N14" s="71">
        <v>1.68</v>
      </c>
      <c r="O14" s="62"/>
    </row>
    <row r="15" spans="1:15" x14ac:dyDescent="0.35">
      <c r="A15" s="7" t="s">
        <v>37</v>
      </c>
      <c r="H15" s="2"/>
      <c r="L15" s="66" t="s">
        <v>149</v>
      </c>
      <c r="M15" s="68" t="s">
        <v>150</v>
      </c>
      <c r="N15" s="71">
        <v>1.68</v>
      </c>
      <c r="O15" s="62"/>
    </row>
    <row r="16" spans="1:15" x14ac:dyDescent="0.35">
      <c r="A16" s="7"/>
      <c r="H16" s="2"/>
      <c r="O16" s="62"/>
    </row>
    <row r="17" spans="1:15" ht="13.15" x14ac:dyDescent="0.4">
      <c r="A17" s="149" t="s">
        <v>38</v>
      </c>
      <c r="H17" s="2"/>
      <c r="O17" s="62"/>
    </row>
    <row r="18" spans="1:15" x14ac:dyDescent="0.35">
      <c r="A18" s="148" t="s">
        <v>80</v>
      </c>
      <c r="H18" s="2"/>
      <c r="O18" s="62"/>
    </row>
    <row r="19" spans="1:15" x14ac:dyDescent="0.35">
      <c r="H19" s="2"/>
      <c r="K19" s="26"/>
      <c r="O19" s="62"/>
    </row>
    <row r="20" spans="1:15" ht="13.15" x14ac:dyDescent="0.4">
      <c r="A20" s="149" t="s">
        <v>81</v>
      </c>
      <c r="B20" s="7" t="s">
        <v>42</v>
      </c>
      <c r="H20" s="2"/>
      <c r="O20" s="62"/>
    </row>
    <row r="21" spans="1:15" x14ac:dyDescent="0.35">
      <c r="A21" s="7"/>
      <c r="C21" s="26">
        <f>'October 1 2019'!C20*1.025</f>
        <v>1.4183437500000002</v>
      </c>
      <c r="D21" s="1" t="s">
        <v>43</v>
      </c>
      <c r="H21" s="2"/>
      <c r="L21" s="66" t="s">
        <v>151</v>
      </c>
      <c r="M21" s="68" t="s">
        <v>152</v>
      </c>
      <c r="N21" s="71">
        <f>C21</f>
        <v>1.4183437500000002</v>
      </c>
      <c r="O21" s="62"/>
    </row>
    <row r="22" spans="1:15" ht="13.15" x14ac:dyDescent="0.4">
      <c r="A22" s="149" t="s">
        <v>82</v>
      </c>
      <c r="B22" s="7" t="s">
        <v>45</v>
      </c>
      <c r="H22" s="2"/>
      <c r="O22" s="62"/>
    </row>
    <row r="23" spans="1:15" x14ac:dyDescent="0.35">
      <c r="A23" s="7"/>
      <c r="C23" s="26">
        <f>'October 1 2019'!C22*1.025</f>
        <v>1.8911249999999999</v>
      </c>
      <c r="D23" s="1" t="s">
        <v>43</v>
      </c>
      <c r="H23" s="2"/>
      <c r="L23" s="66" t="s">
        <v>153</v>
      </c>
      <c r="M23" s="68" t="s">
        <v>154</v>
      </c>
      <c r="N23" s="71">
        <f>C23</f>
        <v>1.8911249999999999</v>
      </c>
      <c r="O23" s="62"/>
    </row>
    <row r="24" spans="1:15" ht="13.15" x14ac:dyDescent="0.4">
      <c r="A24" s="149" t="s">
        <v>83</v>
      </c>
      <c r="B24" s="7" t="s">
        <v>47</v>
      </c>
      <c r="H24" s="2"/>
      <c r="O24" s="62"/>
    </row>
    <row r="25" spans="1:15" x14ac:dyDescent="0.35">
      <c r="A25" s="7"/>
      <c r="C25" s="26">
        <f>'October 1 2019'!C24*1.025</f>
        <v>2.1537812500000002</v>
      </c>
      <c r="D25" s="1" t="s">
        <v>43</v>
      </c>
      <c r="H25" s="2"/>
      <c r="L25" s="66" t="s">
        <v>155</v>
      </c>
      <c r="M25" s="68" t="s">
        <v>156</v>
      </c>
      <c r="N25" s="71">
        <f>C25</f>
        <v>2.1537812500000002</v>
      </c>
      <c r="O25" s="62"/>
    </row>
    <row r="26" spans="1:15" x14ac:dyDescent="0.35">
      <c r="A26" s="148" t="s">
        <v>84</v>
      </c>
      <c r="C26" s="26"/>
      <c r="H26" s="2"/>
      <c r="O26" s="62"/>
    </row>
    <row r="27" spans="1:15" x14ac:dyDescent="0.35">
      <c r="A27" s="7"/>
      <c r="C27" s="26"/>
      <c r="H27" s="2"/>
      <c r="O27" s="62"/>
    </row>
    <row r="28" spans="1:15" ht="13.15" x14ac:dyDescent="0.4">
      <c r="A28" s="29" t="s">
        <v>85</v>
      </c>
      <c r="C28" s="26"/>
      <c r="H28" s="2"/>
      <c r="O28" s="62"/>
    </row>
    <row r="29" spans="1:15" ht="14.25" x14ac:dyDescent="0.45">
      <c r="A29" s="148" t="s">
        <v>86</v>
      </c>
      <c r="H29" s="2"/>
      <c r="K29" s="63"/>
    </row>
    <row r="30" spans="1:15" ht="13.15" x14ac:dyDescent="0.4">
      <c r="A30" s="148" t="s">
        <v>102</v>
      </c>
      <c r="B30" s="4"/>
      <c r="D30" s="4"/>
      <c r="E30" s="38">
        <v>1</v>
      </c>
      <c r="F30" s="17" t="s">
        <v>88</v>
      </c>
      <c r="I30" s="17"/>
      <c r="J30" s="17"/>
      <c r="L30" s="66" t="s">
        <v>157</v>
      </c>
      <c r="M30" s="76" t="s">
        <v>158</v>
      </c>
      <c r="N30" s="73">
        <f>E30</f>
        <v>1</v>
      </c>
    </row>
    <row r="31" spans="1:15" ht="13.15" x14ac:dyDescent="0.4">
      <c r="A31" s="148"/>
      <c r="B31" s="4"/>
      <c r="D31" s="4"/>
      <c r="G31" s="38"/>
      <c r="H31" s="17"/>
      <c r="I31" s="17"/>
      <c r="J31" s="17"/>
      <c r="M31" s="75"/>
      <c r="N31" s="72"/>
    </row>
    <row r="32" spans="1:15" ht="13.15" x14ac:dyDescent="0.4">
      <c r="A32" s="148" t="s">
        <v>89</v>
      </c>
      <c r="H32" s="2"/>
      <c r="K32" s="4"/>
    </row>
    <row r="33" spans="1:14" ht="13.15" x14ac:dyDescent="0.4">
      <c r="A33" s="148" t="s">
        <v>130</v>
      </c>
    </row>
    <row r="34" spans="1:14" x14ac:dyDescent="0.35">
      <c r="A34" s="30">
        <v>1</v>
      </c>
      <c r="B34" s="17" t="s">
        <v>88</v>
      </c>
      <c r="H34" s="2"/>
      <c r="L34" s="66" t="s">
        <v>159</v>
      </c>
      <c r="M34" s="68" t="s">
        <v>160</v>
      </c>
      <c r="N34" s="71">
        <f>A34</f>
        <v>1</v>
      </c>
    </row>
    <row r="35" spans="1:14" x14ac:dyDescent="0.35">
      <c r="H35" s="2"/>
    </row>
    <row r="36" spans="1:14" ht="13.15" x14ac:dyDescent="0.4">
      <c r="A36" s="148" t="s">
        <v>104</v>
      </c>
      <c r="H36" s="2"/>
      <c r="K36" s="4"/>
    </row>
    <row r="37" spans="1:14" ht="13.15" x14ac:dyDescent="0.4">
      <c r="A37" s="148" t="s">
        <v>105</v>
      </c>
      <c r="H37" s="2"/>
      <c r="K37" s="4"/>
    </row>
    <row r="38" spans="1:14" ht="13.15" x14ac:dyDescent="0.4">
      <c r="A38" s="148" t="s">
        <v>124</v>
      </c>
    </row>
    <row r="39" spans="1:14" x14ac:dyDescent="0.35">
      <c r="A39" s="7"/>
      <c r="E39" s="1" t="s">
        <v>93</v>
      </c>
      <c r="G39" s="38">
        <v>1</v>
      </c>
      <c r="H39" s="17" t="s">
        <v>94</v>
      </c>
      <c r="L39" s="66" t="s">
        <v>161</v>
      </c>
      <c r="M39" s="68" t="s">
        <v>162</v>
      </c>
      <c r="N39" s="71">
        <f>G39</f>
        <v>1</v>
      </c>
    </row>
    <row r="40" spans="1:14" x14ac:dyDescent="0.35">
      <c r="A40" s="7"/>
      <c r="G40" s="38"/>
      <c r="H40" s="17"/>
    </row>
    <row r="41" spans="1:14" ht="14.25" x14ac:dyDescent="0.35">
      <c r="A41" s="64" t="s">
        <v>125</v>
      </c>
      <c r="G41" s="38"/>
      <c r="H41" s="17"/>
    </row>
    <row r="42" spans="1:14" ht="14.25" x14ac:dyDescent="0.35">
      <c r="A42" s="65" t="s">
        <v>126</v>
      </c>
      <c r="G42" s="38"/>
      <c r="H42" s="17"/>
      <c r="L42" s="66" t="s">
        <v>163</v>
      </c>
      <c r="M42" s="68" t="s">
        <v>164</v>
      </c>
      <c r="N42" s="71">
        <v>0.2</v>
      </c>
    </row>
    <row r="43" spans="1:14" x14ac:dyDescent="0.35">
      <c r="A43" s="7"/>
      <c r="H43" s="2"/>
    </row>
    <row r="44" spans="1:14" ht="12" customHeight="1" x14ac:dyDescent="0.4">
      <c r="A44" s="27" t="s">
        <v>138</v>
      </c>
      <c r="H44" s="2"/>
    </row>
    <row r="45" spans="1:14" x14ac:dyDescent="0.35">
      <c r="A45" s="27" t="s">
        <v>139</v>
      </c>
      <c r="E45" s="17" t="s">
        <v>93</v>
      </c>
      <c r="G45" s="26">
        <v>0.25</v>
      </c>
      <c r="H45" s="39" t="s">
        <v>43</v>
      </c>
      <c r="L45" s="66" t="s">
        <v>165</v>
      </c>
      <c r="M45" s="68" t="s">
        <v>166</v>
      </c>
      <c r="N45" s="71">
        <f>G45</f>
        <v>0.25</v>
      </c>
    </row>
    <row r="46" spans="1:14" x14ac:dyDescent="0.35">
      <c r="A46" s="37"/>
    </row>
    <row r="47" spans="1:14" x14ac:dyDescent="0.35">
      <c r="A47" s="37"/>
      <c r="H47" s="2"/>
    </row>
    <row r="48" spans="1:14" ht="13.15" x14ac:dyDescent="0.4">
      <c r="A48" s="149" t="s">
        <v>56</v>
      </c>
      <c r="H48" s="2"/>
    </row>
    <row r="49" spans="1:14" ht="13.15" x14ac:dyDescent="0.4">
      <c r="A49" s="7" t="s">
        <v>57</v>
      </c>
      <c r="H49" s="2"/>
    </row>
    <row r="50" spans="1:14" ht="13.15" x14ac:dyDescent="0.4">
      <c r="A50" s="7" t="s">
        <v>58</v>
      </c>
      <c r="H50" s="2"/>
      <c r="I50" s="4"/>
    </row>
    <row r="51" spans="1:14" x14ac:dyDescent="0.35">
      <c r="A51" s="56">
        <f>'October 1 2019'!A50*1.025</f>
        <v>0.37124884999999996</v>
      </c>
      <c r="B51" s="15" t="s">
        <v>59</v>
      </c>
      <c r="H51" s="2"/>
      <c r="L51" s="66" t="s">
        <v>167</v>
      </c>
      <c r="N51" s="74">
        <f>A51</f>
        <v>0.37124884999999996</v>
      </c>
    </row>
    <row r="52" spans="1:14" x14ac:dyDescent="0.35">
      <c r="A52" s="56">
        <f>'October 1 2019'!A51*1.025</f>
        <v>0.45055002500000002</v>
      </c>
      <c r="B52" s="15" t="s">
        <v>60</v>
      </c>
      <c r="H52" s="2"/>
      <c r="L52" s="66" t="s">
        <v>168</v>
      </c>
      <c r="N52" s="74">
        <f t="shared" ref="N52:N54" si="2">A52</f>
        <v>0.45055002500000002</v>
      </c>
    </row>
    <row r="53" spans="1:14" x14ac:dyDescent="0.35">
      <c r="A53" s="56">
        <f>'October 1 2019'!A52*1.025</f>
        <v>0.53413774999999997</v>
      </c>
      <c r="B53" s="15" t="s">
        <v>61</v>
      </c>
      <c r="H53" s="2"/>
      <c r="L53" s="66" t="s">
        <v>169</v>
      </c>
      <c r="N53" s="74">
        <f t="shared" si="2"/>
        <v>0.53413774999999997</v>
      </c>
    </row>
    <row r="54" spans="1:14" x14ac:dyDescent="0.35">
      <c r="A54" s="56">
        <f>'October 1 2019'!A53*1.025</f>
        <v>0.61558219999999997</v>
      </c>
      <c r="B54" s="15" t="s">
        <v>62</v>
      </c>
      <c r="C54" s="18"/>
      <c r="D54" s="18"/>
      <c r="H54" s="2"/>
      <c r="L54" s="66" t="s">
        <v>170</v>
      </c>
      <c r="N54" s="74">
        <f t="shared" si="2"/>
        <v>0.61558219999999997</v>
      </c>
    </row>
    <row r="55" spans="1:14" x14ac:dyDescent="0.35">
      <c r="A55" s="8"/>
      <c r="B55" s="18"/>
      <c r="C55" s="18"/>
      <c r="D55" s="18"/>
      <c r="H55" s="2"/>
    </row>
    <row r="56" spans="1:14" ht="13.15" x14ac:dyDescent="0.4">
      <c r="A56" s="51" t="s">
        <v>63</v>
      </c>
      <c r="B56" s="4"/>
      <c r="C56" s="4"/>
      <c r="D56" s="4"/>
      <c r="H56" s="2"/>
      <c r="J56" s="4"/>
      <c r="K56" s="4"/>
      <c r="L56" s="69"/>
    </row>
    <row r="57" spans="1:14" x14ac:dyDescent="0.35">
      <c r="A57" s="1" t="s">
        <v>64</v>
      </c>
      <c r="H57" s="2"/>
    </row>
    <row r="58" spans="1:14" x14ac:dyDescent="0.35">
      <c r="A58" s="18"/>
      <c r="B58" s="1" t="s">
        <v>65</v>
      </c>
      <c r="H58" s="2"/>
      <c r="L58" s="66" t="s">
        <v>171</v>
      </c>
      <c r="M58" s="68" t="s">
        <v>172</v>
      </c>
      <c r="N58" s="71">
        <v>35</v>
      </c>
    </row>
    <row r="59" spans="1:14" x14ac:dyDescent="0.35">
      <c r="B59" s="1" t="s">
        <v>66</v>
      </c>
      <c r="H59" s="2"/>
      <c r="L59" s="66" t="s">
        <v>173</v>
      </c>
      <c r="M59" s="68" t="s">
        <v>174</v>
      </c>
      <c r="N59" s="71">
        <v>45</v>
      </c>
    </row>
    <row r="60" spans="1:14" x14ac:dyDescent="0.35">
      <c r="B60" s="1" t="s">
        <v>67</v>
      </c>
      <c r="H60" s="2"/>
    </row>
    <row r="61" spans="1:14" x14ac:dyDescent="0.35">
      <c r="B61" s="1" t="s">
        <v>68</v>
      </c>
      <c r="H61" s="2"/>
    </row>
    <row r="62" spans="1:14" x14ac:dyDescent="0.35">
      <c r="L62" s="66" t="s">
        <v>131</v>
      </c>
      <c r="M62" s="68" t="s">
        <v>132</v>
      </c>
      <c r="N62" s="71">
        <v>3.1</v>
      </c>
    </row>
    <row r="63" spans="1:14" x14ac:dyDescent="0.35">
      <c r="L63" s="66" t="s">
        <v>133</v>
      </c>
      <c r="M63" s="68" t="s">
        <v>134</v>
      </c>
      <c r="N63" s="71">
        <v>3.57</v>
      </c>
    </row>
    <row r="64" spans="1:14" x14ac:dyDescent="0.35">
      <c r="L64" s="66" t="s">
        <v>135</v>
      </c>
      <c r="M64" s="68" t="s">
        <v>136</v>
      </c>
      <c r="N64" s="71">
        <f>'October 1 2019'!N64*1.025</f>
        <v>3.8334999999999999</v>
      </c>
    </row>
  </sheetData>
  <mergeCells count="1">
    <mergeCell ref="A3:C3"/>
  </mergeCells>
  <pageMargins left="1" right="0.25" top="0.75" bottom="0.75" header="0.3" footer="0.3"/>
  <pageSetup scale="95" orientation="landscape"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3F8E8-8727-4D42-AA1B-8DB106DF72B6}">
  <sheetPr>
    <tabColor theme="1"/>
    <pageSetUpPr fitToPage="1"/>
  </sheetPr>
  <dimension ref="A1:P64"/>
  <sheetViews>
    <sheetView showGridLines="0" workbookViewId="0">
      <selection activeCell="I36" sqref="I36"/>
    </sheetView>
  </sheetViews>
  <sheetFormatPr defaultColWidth="9.1328125" defaultRowHeight="13.15" x14ac:dyDescent="0.4"/>
  <cols>
    <col min="1" max="1" width="9.1328125" style="78"/>
    <col min="2" max="2" width="7" style="78" customWidth="1"/>
    <col min="3" max="3" width="12.59765625" style="78" customWidth="1"/>
    <col min="4" max="4" width="57.73046875" style="78" bestFit="1" customWidth="1"/>
    <col min="5" max="5" width="6.1328125" style="78" customWidth="1"/>
    <col min="6" max="6" width="3.73046875" style="78" customWidth="1"/>
    <col min="7" max="7" width="8.265625" style="78" customWidth="1"/>
    <col min="8" max="8" width="11.73046875" style="78" customWidth="1"/>
    <col min="9" max="9" width="22.1328125" style="78" bestFit="1" customWidth="1"/>
    <col min="10" max="10" width="11.59765625" style="78" customWidth="1"/>
    <col min="11" max="11" width="7.265625" style="78" customWidth="1"/>
    <col min="12" max="12" width="7.3984375" style="83" bestFit="1" customWidth="1"/>
    <col min="13" max="13" width="25.86328125" style="92" bestFit="1" customWidth="1"/>
    <col min="14" max="14" width="7.73046875" style="93" bestFit="1" customWidth="1"/>
    <col min="15" max="15" width="28.59765625" style="78" bestFit="1" customWidth="1"/>
    <col min="16" max="16384" width="9.1328125" style="78"/>
  </cols>
  <sheetData>
    <row r="1" spans="1:15" x14ac:dyDescent="0.4">
      <c r="A1" s="150" t="s">
        <v>0</v>
      </c>
      <c r="I1" s="79"/>
      <c r="M1" s="92" t="s">
        <v>175</v>
      </c>
      <c r="N1" s="128">
        <v>1.0249999999999999</v>
      </c>
    </row>
    <row r="2" spans="1:15" x14ac:dyDescent="0.4">
      <c r="H2" s="79"/>
    </row>
    <row r="3" spans="1:15" x14ac:dyDescent="0.4">
      <c r="A3" s="165" t="s">
        <v>176</v>
      </c>
      <c r="B3" s="165"/>
      <c r="C3" s="165"/>
      <c r="H3" s="79"/>
      <c r="I3" s="86"/>
      <c r="J3" s="86"/>
    </row>
    <row r="4" spans="1:15" x14ac:dyDescent="0.4">
      <c r="A4" s="103" t="s">
        <v>115</v>
      </c>
      <c r="B4" s="103" t="s">
        <v>116</v>
      </c>
      <c r="C4" s="86" t="s">
        <v>4</v>
      </c>
      <c r="D4" s="86" t="s">
        <v>5</v>
      </c>
      <c r="E4" s="103" t="s">
        <v>6</v>
      </c>
      <c r="F4" s="103" t="s">
        <v>7</v>
      </c>
      <c r="G4" s="103" t="s">
        <v>8</v>
      </c>
      <c r="H4" s="103" t="s">
        <v>117</v>
      </c>
      <c r="L4" s="91" t="s">
        <v>140</v>
      </c>
      <c r="M4" s="92" t="s">
        <v>141</v>
      </c>
      <c r="N4" s="93" t="s">
        <v>142</v>
      </c>
    </row>
    <row r="5" spans="1:15" x14ac:dyDescent="0.4">
      <c r="A5" s="94" t="s">
        <v>118</v>
      </c>
      <c r="B5" s="95" t="s">
        <v>119</v>
      </c>
      <c r="C5" s="94" t="s">
        <v>11</v>
      </c>
      <c r="D5" s="96" t="s">
        <v>177</v>
      </c>
      <c r="E5" s="94">
        <v>253</v>
      </c>
      <c r="F5" s="94">
        <v>5</v>
      </c>
      <c r="G5" s="94" t="s">
        <v>13</v>
      </c>
      <c r="H5" s="97">
        <f>N5</f>
        <v>32.073115913890994</v>
      </c>
      <c r="I5" s="98"/>
      <c r="L5" s="101" t="str">
        <f t="shared" ref="L5:L10" si="0">C5</f>
        <v>07300C</v>
      </c>
      <c r="M5" s="92" t="s">
        <v>119</v>
      </c>
      <c r="N5" s="102">
        <f t="shared" ref="N5:N10" si="1">VLOOKUP(L5,October2020Rates,3,0)*IncrPerc2021</f>
        <v>32.073115913890994</v>
      </c>
    </row>
    <row r="6" spans="1:15" x14ac:dyDescent="0.4">
      <c r="A6" s="94" t="s">
        <v>118</v>
      </c>
      <c r="B6" s="95" t="s">
        <v>121</v>
      </c>
      <c r="C6" s="94" t="s">
        <v>144</v>
      </c>
      <c r="D6" s="96" t="s">
        <v>178</v>
      </c>
      <c r="E6" s="94">
        <v>320</v>
      </c>
      <c r="F6" s="94">
        <v>7</v>
      </c>
      <c r="G6" s="94" t="s">
        <v>13</v>
      </c>
      <c r="H6" s="97">
        <f t="shared" ref="H6:H10" si="2">N6</f>
        <v>35.92830192187499</v>
      </c>
      <c r="I6" s="98"/>
      <c r="L6" s="101" t="str">
        <f t="shared" si="0"/>
        <v>59400C</v>
      </c>
      <c r="M6" s="92" t="s">
        <v>121</v>
      </c>
      <c r="N6" s="102">
        <f>N9</f>
        <v>35.92830192187499</v>
      </c>
    </row>
    <row r="7" spans="1:15" x14ac:dyDescent="0.4">
      <c r="A7" s="94" t="s">
        <v>118</v>
      </c>
      <c r="B7" s="95" t="s">
        <v>120</v>
      </c>
      <c r="C7" s="94" t="s">
        <v>18</v>
      </c>
      <c r="D7" s="96" t="s">
        <v>19</v>
      </c>
      <c r="E7" s="94">
        <v>185</v>
      </c>
      <c r="F7" s="94">
        <v>4</v>
      </c>
      <c r="G7" s="94" t="s">
        <v>13</v>
      </c>
      <c r="H7" s="97">
        <f t="shared" si="2"/>
        <v>30.868465052770993</v>
      </c>
      <c r="I7" s="98"/>
      <c r="L7" s="101" t="str">
        <f t="shared" si="0"/>
        <v>09330C</v>
      </c>
      <c r="M7" s="92" t="s">
        <v>120</v>
      </c>
      <c r="N7" s="102">
        <f t="shared" si="1"/>
        <v>30.868465052770993</v>
      </c>
    </row>
    <row r="8" spans="1:15" x14ac:dyDescent="0.4">
      <c r="A8" s="94" t="s">
        <v>118</v>
      </c>
      <c r="B8" s="95" t="s">
        <v>119</v>
      </c>
      <c r="C8" s="94" t="s">
        <v>20</v>
      </c>
      <c r="D8" s="96" t="s">
        <v>21</v>
      </c>
      <c r="E8" s="94">
        <v>245</v>
      </c>
      <c r="F8" s="94">
        <v>5</v>
      </c>
      <c r="G8" s="94" t="s">
        <v>13</v>
      </c>
      <c r="H8" s="97">
        <f t="shared" si="2"/>
        <v>32.073115913890994</v>
      </c>
      <c r="I8" s="98"/>
      <c r="L8" s="101" t="str">
        <f t="shared" si="0"/>
        <v>09340C</v>
      </c>
      <c r="M8" s="92" t="s">
        <v>119</v>
      </c>
      <c r="N8" s="102">
        <f t="shared" si="1"/>
        <v>32.073115913890994</v>
      </c>
    </row>
    <row r="9" spans="1:15" x14ac:dyDescent="0.4">
      <c r="A9" s="94" t="s">
        <v>118</v>
      </c>
      <c r="B9" s="95" t="s">
        <v>121</v>
      </c>
      <c r="C9" s="94" t="s">
        <v>72</v>
      </c>
      <c r="D9" s="96" t="s">
        <v>98</v>
      </c>
      <c r="E9" s="94">
        <v>320</v>
      </c>
      <c r="F9" s="94">
        <v>7</v>
      </c>
      <c r="G9" s="94" t="s">
        <v>13</v>
      </c>
      <c r="H9" s="97">
        <f t="shared" si="2"/>
        <v>35.92830192187499</v>
      </c>
      <c r="I9" s="98"/>
      <c r="L9" s="101" t="str">
        <f t="shared" si="0"/>
        <v>09345C</v>
      </c>
      <c r="M9" s="92" t="s">
        <v>121</v>
      </c>
      <c r="N9" s="102">
        <f t="shared" si="1"/>
        <v>35.92830192187499</v>
      </c>
    </row>
    <row r="10" spans="1:15" x14ac:dyDescent="0.4">
      <c r="A10" s="94" t="s">
        <v>118</v>
      </c>
      <c r="B10" s="95" t="s">
        <v>122</v>
      </c>
      <c r="C10" s="94" t="s">
        <v>74</v>
      </c>
      <c r="D10" s="96" t="s">
        <v>99</v>
      </c>
      <c r="E10" s="94">
        <v>258</v>
      </c>
      <c r="F10" s="94">
        <v>5</v>
      </c>
      <c r="G10" s="94" t="s">
        <v>13</v>
      </c>
      <c r="H10" s="97">
        <f t="shared" si="2"/>
        <v>32.179645656249988</v>
      </c>
      <c r="I10" s="98"/>
      <c r="L10" s="101" t="str">
        <f t="shared" si="0"/>
        <v>10859C</v>
      </c>
      <c r="M10" s="92" t="s">
        <v>122</v>
      </c>
      <c r="N10" s="102">
        <f t="shared" si="1"/>
        <v>32.179645656249988</v>
      </c>
    </row>
    <row r="11" spans="1:15" x14ac:dyDescent="0.4">
      <c r="A11" s="103"/>
      <c r="B11" s="103"/>
      <c r="C11" s="86"/>
      <c r="D11" s="86"/>
      <c r="E11" s="103"/>
      <c r="F11" s="103"/>
      <c r="G11" s="103"/>
      <c r="H11" s="103"/>
      <c r="I11" s="103"/>
      <c r="J11" s="103"/>
    </row>
    <row r="12" spans="1:15" x14ac:dyDescent="0.4">
      <c r="A12" s="94"/>
      <c r="B12" s="79"/>
      <c r="C12" s="94"/>
      <c r="D12" s="104"/>
      <c r="E12" s="105"/>
      <c r="F12" s="106"/>
    </row>
    <row r="13" spans="1:15" x14ac:dyDescent="0.4">
      <c r="A13" s="150" t="s">
        <v>35</v>
      </c>
      <c r="H13" s="79"/>
      <c r="O13" s="107"/>
    </row>
    <row r="14" spans="1:15" x14ac:dyDescent="0.4">
      <c r="A14" s="96" t="str">
        <f>"Provided that an additional "&amp;TEXT(N14,"$0.00")&amp;" per hour shall be paid, for all hours worked to employees whose "</f>
        <v xml:space="preserve">Provided that an additional $1.72 per hour shall be paid, for all hours worked to employees whose </v>
      </c>
      <c r="H14" s="79"/>
      <c r="L14" s="83" t="s">
        <v>147</v>
      </c>
      <c r="M14" s="92" t="s">
        <v>148</v>
      </c>
      <c r="N14" s="93">
        <f>VLOOKUP(L14,October2020Rates,3,0)*IncrPerc2021</f>
        <v>1.7219999999999998</v>
      </c>
      <c r="O14" s="107"/>
    </row>
    <row r="15" spans="1:15" x14ac:dyDescent="0.4">
      <c r="A15" s="96" t="s">
        <v>179</v>
      </c>
      <c r="H15" s="79"/>
      <c r="L15" s="83" t="s">
        <v>149</v>
      </c>
      <c r="M15" s="92" t="s">
        <v>150</v>
      </c>
      <c r="N15" s="93">
        <f>VLOOKUP(L15,October2020Rates,3,0)*IncrPerc2021</f>
        <v>1.7219999999999998</v>
      </c>
      <c r="O15" s="107"/>
    </row>
    <row r="16" spans="1:15" x14ac:dyDescent="0.4">
      <c r="A16" s="96"/>
      <c r="H16" s="79"/>
      <c r="O16" s="107"/>
    </row>
    <row r="17" spans="1:15" x14ac:dyDescent="0.4">
      <c r="A17" s="150" t="s">
        <v>38</v>
      </c>
      <c r="H17" s="79"/>
      <c r="O17" s="107"/>
    </row>
    <row r="18" spans="1:15" x14ac:dyDescent="0.4">
      <c r="A18" s="96" t="s">
        <v>180</v>
      </c>
      <c r="H18" s="79"/>
      <c r="O18" s="107"/>
    </row>
    <row r="19" spans="1:15" x14ac:dyDescent="0.4">
      <c r="H19" s="79"/>
      <c r="K19" s="109"/>
      <c r="O19" s="107"/>
    </row>
    <row r="20" spans="1:15" x14ac:dyDescent="0.4">
      <c r="A20" s="150" t="s">
        <v>81</v>
      </c>
      <c r="B20" s="96" t="str">
        <f>"For all hours worked on shifts that begin between 6:00 a.m. and 1:59 p.m., employees shall be paid a premium of "&amp;TEXT(N20,"$0.00")&amp;" per hour."</f>
        <v>For all hours worked on shifts that begin between 6:00 a.m. and 1:59 p.m., employees shall be paid a premium of $1.45 per hour.</v>
      </c>
      <c r="H20" s="79"/>
      <c r="L20" s="83" t="s">
        <v>151</v>
      </c>
      <c r="M20" s="92" t="s">
        <v>152</v>
      </c>
      <c r="N20" s="93">
        <f>VLOOKUP(L20,October2020Rates,3,0)*IncrPerc2021</f>
        <v>1.4538023437500001</v>
      </c>
      <c r="O20" s="107"/>
    </row>
    <row r="21" spans="1:15" x14ac:dyDescent="0.4">
      <c r="A21" s="150" t="s">
        <v>82</v>
      </c>
      <c r="B21" s="96" t="str">
        <f>"For all hours worked on shifts that begin between 2:00 p.m. and 8:59 p.m., employees shall be paid a premium of "&amp;TEXT(N21,"$0.00")&amp;" per hour."</f>
        <v>For all hours worked on shifts that begin between 2:00 p.m. and 8:59 p.m., employees shall be paid a premium of $1.94 per hour.</v>
      </c>
      <c r="H21" s="79"/>
      <c r="L21" s="83" t="s">
        <v>153</v>
      </c>
      <c r="M21" s="92" t="s">
        <v>154</v>
      </c>
      <c r="N21" s="93">
        <f>VLOOKUP(L21,October2020Rates,3,0)*IncrPerc2021</f>
        <v>1.9384031249999998</v>
      </c>
      <c r="O21" s="107"/>
    </row>
    <row r="22" spans="1:15" x14ac:dyDescent="0.4">
      <c r="A22" s="150" t="s">
        <v>83</v>
      </c>
      <c r="B22" s="96" t="str">
        <f>"For all hours worked on shifts that begin between 9:00 p.m. and 5:59 a.m., employees shall be paid a premium of "&amp;TEXT(N22,"$0.00")&amp;" per hour."</f>
        <v>For all hours worked on shifts that begin between 9:00 p.m. and 5:59 a.m., employees shall be paid a premium of $2.21 per hour.</v>
      </c>
      <c r="H22" s="79"/>
      <c r="L22" s="83" t="s">
        <v>155</v>
      </c>
      <c r="M22" s="92" t="s">
        <v>156</v>
      </c>
      <c r="N22" s="93">
        <f>VLOOKUP(L22,October2020Rates,3,0)*IncrPerc2021</f>
        <v>2.20762578125</v>
      </c>
      <c r="O22" s="107"/>
    </row>
    <row r="23" spans="1:15" x14ac:dyDescent="0.4">
      <c r="A23" s="96"/>
      <c r="C23" s="109"/>
      <c r="H23" s="79"/>
      <c r="O23" s="107"/>
    </row>
    <row r="24" spans="1:15" x14ac:dyDescent="0.4">
      <c r="A24" s="96" t="s">
        <v>84</v>
      </c>
      <c r="C24" s="109"/>
      <c r="H24" s="79"/>
      <c r="O24" s="107"/>
    </row>
    <row r="25" spans="1:15" x14ac:dyDescent="0.4">
      <c r="A25" s="96"/>
      <c r="C25" s="109"/>
      <c r="H25" s="79"/>
      <c r="O25" s="107"/>
    </row>
    <row r="26" spans="1:15" x14ac:dyDescent="0.4">
      <c r="A26" s="110" t="s">
        <v>85</v>
      </c>
      <c r="C26" s="109"/>
      <c r="H26" s="79"/>
      <c r="O26" s="107"/>
    </row>
    <row r="27" spans="1:15" ht="14.25" x14ac:dyDescent="0.45">
      <c r="A27" s="96" t="s">
        <v>181</v>
      </c>
      <c r="H27" s="79"/>
      <c r="K27" s="111"/>
      <c r="O27" s="107"/>
    </row>
    <row r="28" spans="1:15" x14ac:dyDescent="0.4">
      <c r="A28" s="96" t="s">
        <v>182</v>
      </c>
      <c r="B28" s="86"/>
      <c r="D28" s="86"/>
      <c r="G28" s="113">
        <f>N28</f>
        <v>1</v>
      </c>
      <c r="H28" s="78" t="s">
        <v>88</v>
      </c>
      <c r="L28" s="83" t="s">
        <v>157</v>
      </c>
      <c r="M28" s="92" t="s">
        <v>158</v>
      </c>
      <c r="N28" s="93">
        <v>1</v>
      </c>
    </row>
    <row r="29" spans="1:15" x14ac:dyDescent="0.4">
      <c r="A29" s="96"/>
      <c r="B29" s="86"/>
      <c r="D29" s="86"/>
      <c r="G29" s="113"/>
      <c r="M29" s="129"/>
      <c r="N29" s="130"/>
    </row>
    <row r="30" spans="1:15" x14ac:dyDescent="0.4">
      <c r="A30" s="96" t="s">
        <v>183</v>
      </c>
      <c r="H30" s="79"/>
      <c r="K30" s="86"/>
    </row>
    <row r="31" spans="1:15" x14ac:dyDescent="0.4">
      <c r="A31" s="96" t="s">
        <v>184</v>
      </c>
    </row>
    <row r="32" spans="1:15" x14ac:dyDescent="0.4">
      <c r="A32" s="131">
        <f>N32</f>
        <v>1</v>
      </c>
      <c r="B32" s="78" t="s">
        <v>88</v>
      </c>
      <c r="H32" s="79"/>
      <c r="L32" s="83" t="s">
        <v>159</v>
      </c>
      <c r="M32" s="92" t="s">
        <v>160</v>
      </c>
      <c r="N32" s="93">
        <v>1</v>
      </c>
    </row>
    <row r="33" spans="1:14" x14ac:dyDescent="0.4">
      <c r="H33" s="79"/>
    </row>
    <row r="34" spans="1:14" x14ac:dyDescent="0.4">
      <c r="A34" s="96" t="s">
        <v>185</v>
      </c>
      <c r="H34" s="79"/>
      <c r="K34" s="86"/>
    </row>
    <row r="35" spans="1:14" x14ac:dyDescent="0.4">
      <c r="A35" s="96" t="s">
        <v>105</v>
      </c>
      <c r="H35" s="79"/>
      <c r="K35" s="86"/>
    </row>
    <row r="36" spans="1:14" x14ac:dyDescent="0.4">
      <c r="A36" s="96" t="s">
        <v>186</v>
      </c>
    </row>
    <row r="37" spans="1:14" x14ac:dyDescent="0.4">
      <c r="A37" s="96"/>
      <c r="E37" s="78" t="s">
        <v>93</v>
      </c>
      <c r="G37" s="113">
        <f>N37</f>
        <v>1</v>
      </c>
      <c r="H37" s="78" t="s">
        <v>94</v>
      </c>
      <c r="L37" s="83" t="s">
        <v>161</v>
      </c>
      <c r="M37" s="92" t="s">
        <v>162</v>
      </c>
      <c r="N37" s="93">
        <v>1</v>
      </c>
    </row>
    <row r="38" spans="1:14" x14ac:dyDescent="0.4">
      <c r="A38" s="96"/>
      <c r="G38" s="113"/>
    </row>
    <row r="39" spans="1:14" ht="14.25" x14ac:dyDescent="0.4">
      <c r="A39" s="132" t="s">
        <v>187</v>
      </c>
      <c r="G39" s="113"/>
    </row>
    <row r="40" spans="1:14" ht="14.25" x14ac:dyDescent="0.4">
      <c r="A40" s="133" t="s">
        <v>188</v>
      </c>
      <c r="G40" s="113"/>
      <c r="L40" s="83" t="s">
        <v>163</v>
      </c>
      <c r="M40" s="92" t="s">
        <v>164</v>
      </c>
      <c r="N40" s="93">
        <v>0.2</v>
      </c>
    </row>
    <row r="41" spans="1:14" x14ac:dyDescent="0.4">
      <c r="A41" s="96"/>
      <c r="H41" s="79"/>
    </row>
    <row r="42" spans="1:14" x14ac:dyDescent="0.4">
      <c r="A42" s="122" t="s">
        <v>189</v>
      </c>
      <c r="H42" s="79"/>
    </row>
    <row r="43" spans="1:14" ht="12" customHeight="1" x14ac:dyDescent="0.4">
      <c r="A43" s="122" t="s">
        <v>139</v>
      </c>
      <c r="E43" s="78" t="s">
        <v>93</v>
      </c>
      <c r="G43" s="109">
        <f>N43</f>
        <v>0.25</v>
      </c>
      <c r="H43" s="120" t="s">
        <v>43</v>
      </c>
      <c r="L43" s="83" t="s">
        <v>165</v>
      </c>
      <c r="M43" s="92" t="s">
        <v>166</v>
      </c>
      <c r="N43" s="93">
        <v>0.25</v>
      </c>
    </row>
    <row r="44" spans="1:14" x14ac:dyDescent="0.4">
      <c r="A44" s="122"/>
    </row>
    <row r="45" spans="1:14" x14ac:dyDescent="0.4">
      <c r="A45" s="122"/>
      <c r="H45" s="79"/>
    </row>
    <row r="46" spans="1:14" x14ac:dyDescent="0.4">
      <c r="A46" s="150" t="s">
        <v>56</v>
      </c>
      <c r="H46" s="79"/>
    </row>
    <row r="47" spans="1:14" x14ac:dyDescent="0.4">
      <c r="A47" s="96" t="s">
        <v>190</v>
      </c>
      <c r="H47" s="79"/>
    </row>
    <row r="48" spans="1:14" x14ac:dyDescent="0.4">
      <c r="A48" s="96" t="s">
        <v>58</v>
      </c>
      <c r="H48" s="79"/>
      <c r="I48" s="86"/>
    </row>
    <row r="49" spans="1:16" x14ac:dyDescent="0.4">
      <c r="A49" s="97">
        <f>'October 1 2020'!A51*1.025</f>
        <v>0.38053007124999993</v>
      </c>
      <c r="B49" s="123" t="s">
        <v>59</v>
      </c>
      <c r="H49" s="79"/>
      <c r="L49" s="83" t="s">
        <v>167</v>
      </c>
      <c r="N49" s="102">
        <f>VLOOKUP(L49,October2020Rates,3,0)*IncrPerc2021</f>
        <v>0.38053007124999993</v>
      </c>
      <c r="O49" s="134"/>
    </row>
    <row r="50" spans="1:16" x14ac:dyDescent="0.4">
      <c r="A50" s="97">
        <f>'October 1 2020'!A52*1.025</f>
        <v>0.46181377562499998</v>
      </c>
      <c r="B50" s="123" t="s">
        <v>60</v>
      </c>
      <c r="H50" s="79"/>
      <c r="L50" s="83" t="s">
        <v>168</v>
      </c>
      <c r="N50" s="102">
        <f>VLOOKUP(L50,October2020Rates,3,0)*IncrPerc2021</f>
        <v>0.46181377562499998</v>
      </c>
    </row>
    <row r="51" spans="1:16" x14ac:dyDescent="0.4">
      <c r="A51" s="97">
        <f>'October 1 2020'!A53*1.025</f>
        <v>0.54749119374999988</v>
      </c>
      <c r="B51" s="123" t="s">
        <v>61</v>
      </c>
      <c r="H51" s="79"/>
      <c r="L51" s="83" t="s">
        <v>169</v>
      </c>
      <c r="N51" s="102">
        <f>VLOOKUP(L51,October2020Rates,3,0)*IncrPerc2021</f>
        <v>0.54749119374999988</v>
      </c>
    </row>
    <row r="52" spans="1:16" x14ac:dyDescent="0.4">
      <c r="A52" s="97">
        <f>'October 1 2020'!A54*1.025</f>
        <v>0.63097175499999991</v>
      </c>
      <c r="B52" s="123" t="s">
        <v>62</v>
      </c>
      <c r="C52" s="124"/>
      <c r="D52" s="124"/>
      <c r="H52" s="79"/>
      <c r="L52" s="83" t="s">
        <v>170</v>
      </c>
      <c r="N52" s="102">
        <f>VLOOKUP(L52,October2020Rates,3,0)*IncrPerc2021</f>
        <v>0.63097175499999991</v>
      </c>
    </row>
    <row r="53" spans="1:16" x14ac:dyDescent="0.4">
      <c r="A53" s="125"/>
      <c r="B53" s="124"/>
      <c r="C53" s="124"/>
      <c r="D53" s="124"/>
      <c r="H53" s="79"/>
    </row>
    <row r="54" spans="1:16" x14ac:dyDescent="0.4">
      <c r="A54" s="126" t="s">
        <v>63</v>
      </c>
      <c r="B54" s="86"/>
      <c r="C54" s="86"/>
      <c r="D54" s="86"/>
      <c r="H54" s="79"/>
      <c r="J54" s="86"/>
      <c r="K54" s="86"/>
      <c r="L54" s="135"/>
    </row>
    <row r="55" spans="1:16" x14ac:dyDescent="0.4">
      <c r="A55" s="78" t="s">
        <v>64</v>
      </c>
      <c r="H55" s="79"/>
    </row>
    <row r="56" spans="1:16" x14ac:dyDescent="0.4">
      <c r="A56" s="124"/>
      <c r="B56" s="78" t="s">
        <v>65</v>
      </c>
      <c r="H56" s="79"/>
      <c r="L56" s="136" t="s">
        <v>171</v>
      </c>
      <c r="M56" s="92" t="s">
        <v>172</v>
      </c>
      <c r="N56" s="93">
        <v>35</v>
      </c>
    </row>
    <row r="57" spans="1:16" x14ac:dyDescent="0.4">
      <c r="B57" s="78" t="s">
        <v>66</v>
      </c>
      <c r="H57" s="79"/>
      <c r="L57" s="83" t="s">
        <v>173</v>
      </c>
      <c r="M57" s="92" t="s">
        <v>174</v>
      </c>
      <c r="N57" s="93">
        <v>45</v>
      </c>
    </row>
    <row r="58" spans="1:16" x14ac:dyDescent="0.4">
      <c r="B58" s="78" t="s">
        <v>67</v>
      </c>
      <c r="H58" s="79"/>
    </row>
    <row r="59" spans="1:16" x14ac:dyDescent="0.4">
      <c r="B59" s="78" t="s">
        <v>68</v>
      </c>
      <c r="H59" s="79"/>
    </row>
    <row r="62" spans="1:16" x14ac:dyDescent="0.4">
      <c r="L62" s="83" t="s">
        <v>131</v>
      </c>
      <c r="M62" s="92" t="s">
        <v>132</v>
      </c>
      <c r="N62" s="93">
        <f>ROUND(VLOOKUP(L62,October2020Rates,3,0)*IncrPerc2021,2)</f>
        <v>3.18</v>
      </c>
      <c r="O62" s="141"/>
      <c r="P62" s="142"/>
    </row>
    <row r="63" spans="1:16" x14ac:dyDescent="0.4">
      <c r="L63" s="83" t="s">
        <v>133</v>
      </c>
      <c r="M63" s="92" t="s">
        <v>134</v>
      </c>
      <c r="N63" s="93">
        <f>ROUND(VLOOKUP(L63,October2020Rates,3,0)*IncrPerc2021,2)</f>
        <v>3.66</v>
      </c>
      <c r="O63" s="141"/>
    </row>
    <row r="64" spans="1:16" x14ac:dyDescent="0.4">
      <c r="L64" s="83" t="s">
        <v>135</v>
      </c>
      <c r="M64" s="92" t="s">
        <v>136</v>
      </c>
      <c r="N64" s="93">
        <f>ROUND(VLOOKUP(L64,October2020Rates,3,0)*IncrPerc2021,2)</f>
        <v>3.93</v>
      </c>
      <c r="O64" s="141"/>
    </row>
  </sheetData>
  <mergeCells count="1">
    <mergeCell ref="A3:C3"/>
  </mergeCells>
  <pageMargins left="0.2" right="0.2" top="0.75" bottom="0.75" header="0.3" footer="0.3"/>
  <pageSetup scale="99" fitToHeight="0"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35</vt:i4>
      </vt:variant>
    </vt:vector>
  </HeadingPairs>
  <TitlesOfParts>
    <vt:vector size="52" baseType="lpstr">
      <vt:lpstr>October 2015</vt:lpstr>
      <vt:lpstr>October 1 2016</vt:lpstr>
      <vt:lpstr>October 1 2017</vt:lpstr>
      <vt:lpstr>May 13 2018</vt:lpstr>
      <vt:lpstr>October 1 2018</vt:lpstr>
      <vt:lpstr>October 1 2019</vt:lpstr>
      <vt:lpstr>March 29 2020</vt:lpstr>
      <vt:lpstr>October 1 2020</vt:lpstr>
      <vt:lpstr>October 1 2021</vt:lpstr>
      <vt:lpstr>October 1, 2022</vt:lpstr>
      <vt:lpstr>October 1, 2023</vt:lpstr>
      <vt:lpstr>January 1, 2024</vt:lpstr>
      <vt:lpstr>October 1, 2024</vt:lpstr>
      <vt:lpstr>October 1, 2025</vt:lpstr>
      <vt:lpstr>October 1, 2026</vt:lpstr>
      <vt:lpstr>October 1, 2027</vt:lpstr>
      <vt:lpstr>Notes</vt:lpstr>
      <vt:lpstr>Data25.1</vt:lpstr>
      <vt:lpstr>DataJan2024</vt:lpstr>
      <vt:lpstr>DataOct24</vt:lpstr>
      <vt:lpstr>DataOct25</vt:lpstr>
      <vt:lpstr>DataOct26</vt:lpstr>
      <vt:lpstr>IncrPerc2021</vt:lpstr>
      <vt:lpstr>IncrPerc2022</vt:lpstr>
      <vt:lpstr>IncrPerc2023</vt:lpstr>
      <vt:lpstr>'October 1, 2024'!IncrPerc2024</vt:lpstr>
      <vt:lpstr>'October 1, 2025'!IncrPerc2024</vt:lpstr>
      <vt:lpstr>'October 1, 2026'!IncrPerc2024</vt:lpstr>
      <vt:lpstr>'October 1, 2027'!IncrPerc2024</vt:lpstr>
      <vt:lpstr>IncrPerc2024</vt:lpstr>
      <vt:lpstr>'October 1, 2025'!IncrPercJan2024</vt:lpstr>
      <vt:lpstr>'October 1, 2026'!IncrPercJan2024</vt:lpstr>
      <vt:lpstr>'October 1, 2027'!IncrPercJan2024</vt:lpstr>
      <vt:lpstr>IncrPercJan2024</vt:lpstr>
      <vt:lpstr>October2020Rates</vt:lpstr>
      <vt:lpstr>October2021Rates</vt:lpstr>
      <vt:lpstr>October2022Rates</vt:lpstr>
      <vt:lpstr>October2023Rates</vt:lpstr>
      <vt:lpstr>'March 29 2020'!Print_Area</vt:lpstr>
      <vt:lpstr>'May 13 2018'!Print_Area</vt:lpstr>
      <vt:lpstr>'October 1 2016'!Print_Area</vt:lpstr>
      <vt:lpstr>'October 1 2017'!Print_Area</vt:lpstr>
      <vt:lpstr>'October 1 2018'!Print_Area</vt:lpstr>
      <vt:lpstr>'October 1 2019'!Print_Area</vt:lpstr>
      <vt:lpstr>'October 1 2020'!Print_Area</vt:lpstr>
      <vt:lpstr>'March 29 2020'!Print_Titles</vt:lpstr>
      <vt:lpstr>'May 13 2018'!Print_Titles</vt:lpstr>
      <vt:lpstr>'October 1 2016'!Print_Titles</vt:lpstr>
      <vt:lpstr>'October 1 2017'!Print_Titles</vt:lpstr>
      <vt:lpstr>'October 1 2018'!Print_Titles</vt:lpstr>
      <vt:lpstr>'October 1 2019'!Print_Titles</vt:lpstr>
      <vt:lpstr>'October 1 2020'!Print_Titles</vt:lpstr>
    </vt:vector>
  </TitlesOfParts>
  <Manager/>
  <Company>City of Minneapolis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City of Minneapolis Human Resources;Classification &amp; Compensation</dc:creator>
  <cp:keywords/>
  <dc:description/>
  <cp:lastModifiedBy>Kern, Dugan</cp:lastModifiedBy>
  <cp:revision/>
  <dcterms:created xsi:type="dcterms:W3CDTF">2012-06-15T18:52:26Z</dcterms:created>
  <dcterms:modified xsi:type="dcterms:W3CDTF">2026-03-13T18:42:47Z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